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202300"/>
  <mc:AlternateContent xmlns:mc="http://schemas.openxmlformats.org/markup-compatibility/2006">
    <mc:Choice Requires="x15">
      <x15ac:absPath xmlns:x15ac="http://schemas.microsoft.com/office/spreadsheetml/2010/11/ac" url="/Users/peterdedon/*PCD/Manuscripts/PT Microbiome 2022 5-30/Byrne et al Microbiome Submission 2024 9-7/"/>
    </mc:Choice>
  </mc:AlternateContent>
  <xr:revisionPtr revIDLastSave="0" documentId="13_ncr:1_{41653C4B-C677-D942-B672-87E157818F72}" xr6:coauthVersionLast="47" xr6:coauthVersionMax="47" xr10:uidLastSave="{00000000-0000-0000-0000-000000000000}"/>
  <bookViews>
    <workbookView xWindow="0" yWindow="760" windowWidth="30240" windowHeight="17680" activeTab="5" xr2:uid="{1CFEEB9D-AD42-AF4A-84FC-02948944928E}"/>
  </bookViews>
  <sheets>
    <sheet name="S2A PT Data for 11 Donors" sheetId="5" r:id="rId1"/>
    <sheet name="S2B Donor #5 Time Course" sheetId="1" r:id="rId2"/>
    <sheet name="S2C Donor #7 Time Course" sheetId="2" r:id="rId3"/>
    <sheet name="S2D Donor #8 Time Course" sheetId="3" r:id="rId4"/>
    <sheet name="S2E Donor #9 Time Course" sheetId="4" r:id="rId5"/>
    <sheet name="S2F PT Calibration Curves"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64" i="1" l="1"/>
  <c r="AG64" i="1"/>
  <c r="AE64" i="1"/>
  <c r="AJ53" i="1"/>
  <c r="AI53" i="1"/>
  <c r="AH53" i="1"/>
  <c r="AD53" i="1"/>
  <c r="AJ52" i="1"/>
  <c r="AI52" i="1"/>
  <c r="AH52" i="1"/>
  <c r="AJ50" i="1"/>
  <c r="AI50" i="1"/>
  <c r="AH50" i="1"/>
  <c r="AC50" i="1"/>
  <c r="AI49" i="1"/>
  <c r="AH49" i="1"/>
  <c r="AD49" i="1"/>
  <c r="AJ48" i="1"/>
  <c r="AI48" i="1"/>
  <c r="AH48" i="1"/>
  <c r="AD48" i="1"/>
  <c r="AC48" i="1"/>
  <c r="AB48" i="1"/>
  <c r="AJ42" i="1"/>
  <c r="AI42" i="1"/>
  <c r="AH42" i="1"/>
  <c r="AF42" i="1"/>
  <c r="AD42" i="1"/>
  <c r="AC42" i="1"/>
  <c r="AB42" i="1"/>
  <c r="AH39" i="1"/>
  <c r="AE39" i="1"/>
  <c r="AB39" i="1"/>
  <c r="AJ37" i="1"/>
  <c r="AI37" i="1"/>
  <c r="AG37" i="1"/>
  <c r="AF37" i="1"/>
  <c r="AD37" i="1"/>
  <c r="AC37" i="1"/>
  <c r="AB37" i="1"/>
  <c r="AC36" i="1"/>
  <c r="AJ28" i="1"/>
  <c r="AI28" i="1"/>
  <c r="AH24" i="3"/>
  <c r="AB24" i="3"/>
  <c r="AE22" i="3"/>
  <c r="AC22" i="3"/>
  <c r="AC21" i="3"/>
  <c r="AK19" i="3"/>
  <c r="AJ19" i="3"/>
  <c r="AG17" i="3"/>
  <c r="AB16" i="3"/>
  <c r="AL15" i="3"/>
  <c r="AI15" i="3"/>
  <c r="AH15" i="3"/>
  <c r="AM14" i="3"/>
  <c r="AL14" i="3"/>
  <c r="AI14" i="3"/>
  <c r="AH14" i="3"/>
  <c r="AF14" i="3"/>
  <c r="AJ13" i="3"/>
  <c r="AI13" i="3"/>
  <c r="AH13" i="3"/>
  <c r="AG13" i="3"/>
  <c r="AF13" i="3"/>
  <c r="AE13" i="3"/>
  <c r="AK12" i="3"/>
  <c r="AJ12" i="3"/>
  <c r="AI12" i="3"/>
  <c r="AH12" i="3"/>
  <c r="AE12" i="3"/>
  <c r="AK11" i="3"/>
  <c r="AI11" i="3"/>
  <c r="AH11" i="3"/>
  <c r="AF11" i="3"/>
  <c r="AE11" i="3"/>
  <c r="AM10" i="3"/>
  <c r="AL10" i="3"/>
  <c r="AJ10" i="3"/>
  <c r="AG10" i="3"/>
  <c r="AF10" i="3"/>
  <c r="AL9" i="3"/>
  <c r="AI9" i="3"/>
  <c r="AH9" i="3"/>
  <c r="AK8" i="3"/>
  <c r="AJ8" i="3"/>
  <c r="AM7" i="3"/>
  <c r="AL7" i="3"/>
  <c r="AJ7" i="3"/>
  <c r="AI7" i="3"/>
  <c r="AG7" i="3"/>
  <c r="AF7" i="3"/>
  <c r="AI13" i="4" l="1"/>
  <c r="AH13" i="4"/>
  <c r="AG13" i="4"/>
  <c r="AF13" i="4"/>
  <c r="AE13" i="4"/>
  <c r="AJ12" i="4"/>
  <c r="AI12" i="4"/>
  <c r="AH12" i="4"/>
  <c r="AF12" i="4"/>
  <c r="AE12" i="4"/>
  <c r="AJ11" i="4"/>
  <c r="AI11" i="4"/>
  <c r="AF11" i="4"/>
  <c r="AC11" i="4"/>
  <c r="AH10" i="4"/>
  <c r="AF10" i="4"/>
  <c r="AE10" i="4"/>
  <c r="AG9" i="4"/>
  <c r="AE8" i="4"/>
  <c r="AC8" i="4"/>
  <c r="AB8" i="4"/>
  <c r="AF20" i="2" l="1"/>
  <c r="AE20" i="2"/>
  <c r="AG19" i="2"/>
  <c r="AC19" i="2"/>
  <c r="AG18" i="2"/>
  <c r="AE18" i="2"/>
  <c r="AC16" i="2"/>
  <c r="AF14" i="2" l="1"/>
  <c r="AG13" i="2"/>
  <c r="AE13" i="2"/>
  <c r="AB12" i="2"/>
  <c r="AG11" i="2"/>
  <c r="AG10" i="2"/>
  <c r="AD10" i="2"/>
  <c r="AF10" i="2"/>
  <c r="AC10" i="2"/>
  <c r="AC9" i="2"/>
  <c r="AJ24" i="1" l="1"/>
  <c r="AI24" i="1"/>
  <c r="AH24" i="1"/>
  <c r="AG24" i="1"/>
  <c r="AI23" i="1"/>
  <c r="AC23" i="1"/>
  <c r="AJ22" i="1"/>
  <c r="AI22" i="1"/>
  <c r="AH22" i="1"/>
  <c r="AF19" i="1"/>
  <c r="AF16" i="1" l="1"/>
  <c r="AE16" i="1"/>
  <c r="AD16" i="1"/>
  <c r="AI15" i="1"/>
  <c r="AJ14" i="1"/>
  <c r="AE14" i="1"/>
  <c r="AC14" i="1"/>
  <c r="AD12" i="1"/>
  <c r="AC12" i="1"/>
  <c r="AB12" i="1"/>
  <c r="AJ11" i="1"/>
  <c r="AH11" i="1"/>
  <c r="AI9" i="1"/>
  <c r="AJ8" i="1"/>
  <c r="AI8" i="1"/>
  <c r="AJ7" i="1"/>
  <c r="AI7" i="1"/>
</calcChain>
</file>

<file path=xl/sharedStrings.xml><?xml version="1.0" encoding="utf-8"?>
<sst xmlns="http://schemas.openxmlformats.org/spreadsheetml/2006/main" count="733" uniqueCount="152">
  <si>
    <t>% of Total PT Level</t>
  </si>
  <si>
    <t>CA</t>
  </si>
  <si>
    <t>CC</t>
  </si>
  <si>
    <t>GA</t>
  </si>
  <si>
    <t>Total</t>
  </si>
  <si>
    <t>Replicate 1</t>
  </si>
  <si>
    <t>Replicate 2</t>
  </si>
  <si>
    <t>Replicate 3</t>
  </si>
  <si>
    <t>1/23/2020</t>
  </si>
  <si>
    <t>2/13/2020</t>
  </si>
  <si>
    <t>3/18/2020</t>
  </si>
  <si>
    <t>6/15/2020</t>
  </si>
  <si>
    <t>7/14/2020</t>
  </si>
  <si>
    <t>8/10/2020</t>
  </si>
  <si>
    <t>9/16/2020</t>
  </si>
  <si>
    <t>10/12/2020</t>
  </si>
  <si>
    <t>11/12/2020</t>
  </si>
  <si>
    <t>11/19/2020</t>
  </si>
  <si>
    <t>11/25/2020</t>
  </si>
  <si>
    <t>12/2/2020</t>
  </si>
  <si>
    <t>12/9/2020</t>
  </si>
  <si>
    <t>12/16/2020</t>
  </si>
  <si>
    <t>12/22/2020</t>
  </si>
  <si>
    <t>12/29/2020</t>
  </si>
  <si>
    <t>1/6/2021</t>
  </si>
  <si>
    <t>1/12/2021</t>
  </si>
  <si>
    <t>1/21/2021</t>
  </si>
  <si>
    <t>2/1/2021</t>
  </si>
  <si>
    <t>2/5/2021</t>
  </si>
  <si>
    <t>2/9/2021</t>
  </si>
  <si>
    <t>2/16/2021</t>
  </si>
  <si>
    <t>2/22/2021</t>
  </si>
  <si>
    <t>3/4/2021</t>
  </si>
  <si>
    <t>3/10/2021</t>
  </si>
  <si>
    <t>3/18/2021</t>
  </si>
  <si>
    <t>3/24/2021</t>
  </si>
  <si>
    <t>3/31/2021</t>
  </si>
  <si>
    <t>4/7/2021</t>
  </si>
  <si>
    <t>4/14/2021</t>
  </si>
  <si>
    <t>4/20/2021</t>
  </si>
  <si>
    <t>4/28/2021</t>
  </si>
  <si>
    <t>5/4/2021</t>
  </si>
  <si>
    <t>5/11/2021</t>
  </si>
  <si>
    <t>5/18/2021</t>
  </si>
  <si>
    <t>5/26/2021</t>
  </si>
  <si>
    <t>6/1/2021</t>
  </si>
  <si>
    <t>6/8/2021</t>
  </si>
  <si>
    <t>6/14/2021</t>
  </si>
  <si>
    <t>6/22/2021</t>
  </si>
  <si>
    <t>6/30/2021</t>
  </si>
  <si>
    <t>7/7/2021</t>
  </si>
  <si>
    <t>7/12/2021</t>
  </si>
  <si>
    <t>7/22/2021</t>
  </si>
  <si>
    <t>7/29/2021</t>
  </si>
  <si>
    <t>8/5/2021</t>
  </si>
  <si>
    <t>8/11/2021</t>
  </si>
  <si>
    <t>8/20/2021</t>
  </si>
  <si>
    <t>8/27/2021</t>
  </si>
  <si>
    <t>9/1/2021</t>
  </si>
  <si>
    <t>9/15/2021</t>
  </si>
  <si>
    <t>9/24/2021</t>
  </si>
  <si>
    <t>9/29/2021</t>
  </si>
  <si>
    <t>10/5/2021</t>
  </si>
  <si>
    <t>10/12/2021</t>
  </si>
  <si>
    <t>10/21/2021</t>
  </si>
  <si>
    <t>10/27/2021</t>
  </si>
  <si>
    <t>4/2/2021</t>
  </si>
  <si>
    <t>4/21/2021</t>
  </si>
  <si>
    <t>4/29/2021</t>
  </si>
  <si>
    <t>7/8/2021</t>
  </si>
  <si>
    <t>7/20/2021</t>
  </si>
  <si>
    <t>GG</t>
  </si>
  <si>
    <t>GT</t>
  </si>
  <si>
    <t>4/8/2021</t>
  </si>
  <si>
    <t>5/24/2021</t>
  </si>
  <si>
    <t>6/3/2021</t>
  </si>
  <si>
    <t>6/17/2021</t>
  </si>
  <si>
    <t>7/6/2021</t>
  </si>
  <si>
    <t>7/23/2021</t>
  </si>
  <si>
    <t>8/10/2021</t>
  </si>
  <si>
    <t>9/2/2021</t>
  </si>
  <si>
    <t>9/17/2021</t>
  </si>
  <si>
    <t>10/1/2021</t>
  </si>
  <si>
    <t>10/26/2021</t>
  </si>
  <si>
    <t xml:space="preserve">Total </t>
  </si>
  <si>
    <t>11/18/2020</t>
  </si>
  <si>
    <t>1/7/2021</t>
  </si>
  <si>
    <t>4/16/2021</t>
  </si>
  <si>
    <t>AA</t>
  </si>
  <si>
    <t>AC</t>
  </si>
  <si>
    <t>CT</t>
  </si>
  <si>
    <t>GC</t>
  </si>
  <si>
    <t>TC</t>
  </si>
  <si>
    <t>Donor</t>
  </si>
  <si>
    <t>N.D.</t>
  </si>
  <si>
    <t>dA</t>
  </si>
  <si>
    <t>dC</t>
  </si>
  <si>
    <t>dG</t>
  </si>
  <si>
    <t>dT</t>
  </si>
  <si>
    <t>Slope</t>
  </si>
  <si>
    <t>Amt (pmol)</t>
  </si>
  <si>
    <t xml:space="preserve">AA </t>
  </si>
  <si>
    <t>AG</t>
  </si>
  <si>
    <t>CG</t>
  </si>
  <si>
    <t>TA</t>
  </si>
  <si>
    <t>TG</t>
  </si>
  <si>
    <t>TT</t>
  </si>
  <si>
    <t>581→136</t>
  </si>
  <si>
    <t>557→112</t>
  </si>
  <si>
    <t>557→136</t>
  </si>
  <si>
    <t>597→136</t>
  </si>
  <si>
    <t>597→152</t>
  </si>
  <si>
    <t>572→127</t>
  </si>
  <si>
    <t>572→136</t>
  </si>
  <si>
    <t>533→112</t>
  </si>
  <si>
    <t>573→112</t>
  </si>
  <si>
    <t>573→152</t>
  </si>
  <si>
    <t>548→112</t>
  </si>
  <si>
    <t>548→127</t>
  </si>
  <si>
    <t>613→152</t>
  </si>
  <si>
    <t>563→127</t>
  </si>
  <si>
    <t>588→152</t>
  </si>
  <si>
    <t>PT Dinucleotides</t>
  </si>
  <si>
    <t>Canonical 2'-Deoxyribonucleosides</t>
  </si>
  <si>
    <t>Cal 1</t>
  </si>
  <si>
    <t>Cal2</t>
  </si>
  <si>
    <t>Cal 3</t>
  </si>
  <si>
    <t>Cal 4</t>
  </si>
  <si>
    <t>Cal 5</t>
  </si>
  <si>
    <t>Cal6</t>
  </si>
  <si>
    <t>Cal 7</t>
  </si>
  <si>
    <t>Cal 8</t>
  </si>
  <si>
    <t>Cal 9</t>
  </si>
  <si>
    <t>Cal10</t>
  </si>
  <si>
    <t>Cal1</t>
  </si>
  <si>
    <t>Cal3</t>
  </si>
  <si>
    <t>Cal4</t>
  </si>
  <si>
    <t>Cal5</t>
  </si>
  <si>
    <r>
      <t xml:space="preserve">Supplementary Table S2F. </t>
    </r>
    <r>
      <rPr>
        <sz val="11"/>
        <rFont val="Arial"/>
        <family val="2"/>
      </rPr>
      <t>Calibration curves for PT dinucleotides and canonical nucleosides. This source data is associated with Figure S9. Data represent normalized mass spectrometer signals for the nucleotides and nucleosides. "Cal" denotes name for the calibrant sample with the noted quantity and signal intensity.</t>
    </r>
  </si>
  <si>
    <r>
      <t xml:space="preserve">Supplementary Table S2E. </t>
    </r>
    <r>
      <rPr>
        <sz val="11"/>
        <color theme="1"/>
        <rFont val="Arial"/>
        <family val="2"/>
      </rPr>
      <t>Time course of PT dinucleotide levels in Donor #9. This source data is associated with Figure S4A.</t>
    </r>
  </si>
  <si>
    <r>
      <t xml:space="preserve">Supplementary S2D. </t>
    </r>
    <r>
      <rPr>
        <sz val="11"/>
        <color theme="1"/>
        <rFont val="Arial"/>
        <family val="2"/>
      </rPr>
      <t>Time course of PT dinucleotide levels in Donor #8. This source data is associated with Figure S3A.</t>
    </r>
  </si>
  <si>
    <r>
      <t xml:space="preserve">Supplementary Table S2C. </t>
    </r>
    <r>
      <rPr>
        <sz val="11"/>
        <color theme="1"/>
        <rFont val="Arial"/>
        <family val="2"/>
      </rPr>
      <t>Time course of PT dinucleotide levels in Donor #7. This source data is associated with Figure S2A.</t>
    </r>
  </si>
  <si>
    <r>
      <rPr>
        <b/>
        <sz val="11"/>
        <color theme="1"/>
        <rFont val="Arial"/>
        <family val="2"/>
      </rPr>
      <t>Supplementary Table S2B</t>
    </r>
    <r>
      <rPr>
        <sz val="11"/>
        <color theme="1"/>
        <rFont val="Arial"/>
        <family val="2"/>
      </rPr>
      <t>. Time course of PT dinucleotide levels in Donor #5. This source data is associated with Figure 2C.</t>
    </r>
  </si>
  <si>
    <r>
      <t xml:space="preserve">Supplementary Table S2A. </t>
    </r>
    <r>
      <rPr>
        <sz val="11"/>
        <color theme="1"/>
        <rFont val="Arial"/>
        <family val="2"/>
      </rPr>
      <t>PT dinucleotides in fecal DNA from 11 human donors. This source data is associated with Figure 2B. "N.D.", not detected</t>
    </r>
  </si>
  <si>
    <t>UV Peak Area</t>
  </si>
  <si>
    <t>LC-MS Peak Area</t>
  </si>
  <si>
    <t>Normalized LC-MS Peak Area</t>
  </si>
  <si>
    <t>Normalized UV Peak Area</t>
  </si>
  <si>
    <r>
      <t>PT per 10</t>
    </r>
    <r>
      <rPr>
        <b/>
        <vertAlign val="superscript"/>
        <sz val="11"/>
        <color theme="1"/>
        <rFont val="Arial"/>
        <family val="2"/>
      </rPr>
      <t>6</t>
    </r>
    <r>
      <rPr>
        <b/>
        <sz val="11"/>
        <color theme="1"/>
        <rFont val="Arial"/>
        <family val="2"/>
      </rPr>
      <t xml:space="preserve"> nt</t>
    </r>
  </si>
  <si>
    <r>
      <t>PT dinucleotides per 10</t>
    </r>
    <r>
      <rPr>
        <b/>
        <vertAlign val="superscript"/>
        <sz val="11"/>
        <color theme="1"/>
        <rFont val="Arial"/>
        <family val="2"/>
      </rPr>
      <t>6</t>
    </r>
    <r>
      <rPr>
        <b/>
        <sz val="11"/>
        <color theme="1"/>
        <rFont val="Arial"/>
        <family val="2"/>
      </rPr>
      <t xml:space="preserve"> nt</t>
    </r>
  </si>
  <si>
    <r>
      <t>Average PT per 10</t>
    </r>
    <r>
      <rPr>
        <b/>
        <vertAlign val="superscript"/>
        <sz val="11"/>
        <color theme="1"/>
        <rFont val="Arial"/>
        <family val="2"/>
      </rPr>
      <t>6</t>
    </r>
    <r>
      <rPr>
        <b/>
        <sz val="11"/>
        <color theme="1"/>
        <rFont val="Arial"/>
        <family val="2"/>
      </rPr>
      <t xml:space="preserve"> nt</t>
    </r>
  </si>
  <si>
    <r>
      <t>PT per 10</t>
    </r>
    <r>
      <rPr>
        <b/>
        <vertAlign val="superscript"/>
        <sz val="11"/>
        <color rgb="FF000000"/>
        <rFont val="Arial"/>
        <family val="2"/>
      </rPr>
      <t>6</t>
    </r>
    <r>
      <rPr>
        <b/>
        <sz val="11"/>
        <color rgb="FF000000"/>
        <rFont val="Arial"/>
        <family val="2"/>
      </rPr>
      <t xml:space="preserve"> 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</si>
</sst>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8" x14ac:knownFonts="1">
    <font>
      <sz val="12"/>
      <color theme="1"/>
      <name val="Aptos Narrow"/>
      <family val="2"/>
      <scheme val="minor"/>
    </font>
    <font>
      <b/>
      <sz val="12"/>
      <color theme="1"/>
      <name val="Aptos Narrow"/>
      <family val="2"/>
      <scheme val="minor"/>
    </font>
    <font>
      <sz val="11"/>
      <name val="Arial"/>
      <family val="2"/>
    </font>
    <font>
      <sz val="11"/>
      <color theme="1"/>
      <name val="Arial"/>
      <family val="2"/>
    </font>
    <font>
      <b/>
      <sz val="12"/>
      <color theme="1"/>
      <name val="Aptos Narrow"/>
      <scheme val="minor"/>
    </font>
    <font>
      <b/>
      <sz val="11"/>
      <color theme="1"/>
      <name val="Arial"/>
      <family val="2"/>
    </font>
    <font>
      <b/>
      <sz val="11"/>
      <color theme="1"/>
      <name val="Calibri"/>
      <family val="2"/>
    </font>
    <font>
      <sz val="11"/>
      <color theme="1"/>
      <name val="Aptos Narrow"/>
      <family val="2"/>
      <scheme val="minor"/>
    </font>
    <font>
      <u/>
      <sz val="11"/>
      <color theme="1"/>
      <name val="Arial"/>
      <family val="2"/>
    </font>
    <font>
      <sz val="8"/>
      <name val="Aptos Narrow"/>
      <family val="2"/>
      <scheme val="minor"/>
    </font>
    <font>
      <b/>
      <u/>
      <sz val="11"/>
      <color theme="1"/>
      <name val="Arial"/>
      <family val="2"/>
    </font>
    <font>
      <sz val="12"/>
      <color rgb="FF000000"/>
      <name val="Aptos Narrow"/>
      <family val="2"/>
      <scheme val="minor"/>
    </font>
    <font>
      <sz val="11"/>
      <color rgb="FF000000"/>
      <name val="Arial"/>
      <family val="2"/>
    </font>
    <font>
      <b/>
      <sz val="11"/>
      <name val="Arial"/>
      <family val="2"/>
    </font>
    <font>
      <sz val="12"/>
      <color rgb="FF000000"/>
      <name val="Calibri"/>
      <family val="2"/>
    </font>
    <font>
      <b/>
      <vertAlign val="superscript"/>
      <sz val="11"/>
      <color theme="1"/>
      <name val="Arial"/>
      <family val="2"/>
    </font>
    <font>
      <b/>
      <sz val="11"/>
      <color rgb="FF000000"/>
      <name val="Arial"/>
      <family val="2"/>
    </font>
    <font>
      <b/>
      <vertAlign val="superscript"/>
      <sz val="11"/>
      <color rgb="FF000000"/>
      <name val="Arial"/>
      <family val="2"/>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5">
    <xf numFmtId="0" fontId="0" fillId="0" borderId="0" xfId="0"/>
    <xf numFmtId="0" fontId="2" fillId="0" borderId="0" xfId="0" applyFont="1" applyAlignment="1">
      <alignment horizontal="center"/>
    </xf>
    <xf numFmtId="0" fontId="2"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xf numFmtId="14" fontId="1" fillId="0" borderId="0" xfId="0" applyNumberFormat="1" applyFont="1"/>
    <xf numFmtId="0" fontId="1" fillId="0" borderId="0" xfId="0" applyFont="1" applyAlignment="1">
      <alignment horizontal="center" vertical="center"/>
    </xf>
    <xf numFmtId="14" fontId="0" fillId="0" borderId="0" xfId="0" applyNumberFormat="1"/>
    <xf numFmtId="0" fontId="0" fillId="0" borderId="0" xfId="0" applyAlignment="1">
      <alignment horizontal="right"/>
    </xf>
    <xf numFmtId="0" fontId="7" fillId="0" borderId="0" xfId="0" applyFont="1"/>
    <xf numFmtId="0" fontId="8" fillId="0" borderId="0" xfId="0" applyFont="1"/>
    <xf numFmtId="0" fontId="4" fillId="0" borderId="0" xfId="0" applyFont="1"/>
    <xf numFmtId="164" fontId="2" fillId="0" borderId="0" xfId="0" applyNumberFormat="1" applyFont="1" applyAlignment="1">
      <alignment horizontal="left"/>
    </xf>
    <xf numFmtId="0" fontId="5" fillId="0" borderId="0" xfId="0" applyFont="1"/>
    <xf numFmtId="0" fontId="6" fillId="0" borderId="0" xfId="0" applyFont="1"/>
    <xf numFmtId="0" fontId="3" fillId="0" borderId="1" xfId="0" applyFont="1" applyBorder="1"/>
    <xf numFmtId="0" fontId="5" fillId="0" borderId="1" xfId="0" applyFont="1" applyBorder="1"/>
    <xf numFmtId="0" fontId="8"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4" fontId="0" fillId="0" borderId="0" xfId="0" applyNumberFormat="1"/>
    <xf numFmtId="0" fontId="11" fillId="0" borderId="0" xfId="0" applyFont="1"/>
    <xf numFmtId="0" fontId="3" fillId="0" borderId="0" xfId="0" applyFont="1" applyAlignment="1">
      <alignment horizontal="center" vertical="center"/>
    </xf>
    <xf numFmtId="0" fontId="12" fillId="0" borderId="0" xfId="0" applyFont="1"/>
    <xf numFmtId="4" fontId="3" fillId="0" borderId="0" xfId="0" applyNumberFormat="1" applyFont="1"/>
    <xf numFmtId="3" fontId="0" fillId="0" borderId="0" xfId="0" applyNumberFormat="1"/>
    <xf numFmtId="3" fontId="11" fillId="0" borderId="0" xfId="0" applyNumberFormat="1" applyFont="1"/>
    <xf numFmtId="0" fontId="13" fillId="0" borderId="0" xfId="0" applyFont="1" applyAlignment="1">
      <alignment horizontal="left"/>
    </xf>
    <xf numFmtId="0" fontId="5" fillId="0" borderId="0" xfId="0" applyFont="1" applyAlignment="1">
      <alignment horizontal="center"/>
    </xf>
    <xf numFmtId="0" fontId="5" fillId="0" borderId="0" xfId="0" applyFont="1" applyAlignment="1">
      <alignment horizontal="left" vertical="center"/>
    </xf>
    <xf numFmtId="0" fontId="0" fillId="0" borderId="0" xfId="0"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xf>
    <xf numFmtId="2" fontId="2" fillId="0" borderId="0" xfId="0" applyNumberFormat="1" applyFont="1" applyAlignment="1">
      <alignment horizontal="center" vertical="center"/>
    </xf>
    <xf numFmtId="2" fontId="0" fillId="0" borderId="0" xfId="0" applyNumberFormat="1" applyAlignment="1">
      <alignment horizontal="center" vertical="center"/>
    </xf>
    <xf numFmtId="0" fontId="2" fillId="0" borderId="0" xfId="0" applyFont="1" applyAlignment="1">
      <alignment horizontal="right"/>
    </xf>
    <xf numFmtId="0" fontId="14" fillId="0" borderId="0" xfId="0" applyFont="1" applyAlignment="1">
      <alignment horizontal="right"/>
    </xf>
    <xf numFmtId="0" fontId="3" fillId="0" borderId="0" xfId="0" applyFont="1" applyAlignment="1">
      <alignment horizontal="right"/>
    </xf>
    <xf numFmtId="4" fontId="11" fillId="0" borderId="0" xfId="0" applyNumberFormat="1" applyFont="1"/>
    <xf numFmtId="0" fontId="5" fillId="0" borderId="0" xfId="0" applyFont="1" applyAlignment="1">
      <alignment horizontal="left" vertical="center"/>
    </xf>
    <xf numFmtId="0" fontId="5" fillId="0" borderId="0" xfId="0" applyFont="1" applyAlignment="1">
      <alignment horizontal="center"/>
    </xf>
    <xf numFmtId="0" fontId="8" fillId="0" borderId="0" xfId="0" applyFont="1" applyAlignment="1">
      <alignment horizontal="center"/>
    </xf>
    <xf numFmtId="0" fontId="5" fillId="0" borderId="0" xfId="0" applyFont="1" applyAlignment="1">
      <alignment horizontal="left"/>
    </xf>
    <xf numFmtId="0" fontId="10" fillId="0" borderId="0" xfId="0" applyFont="1" applyAlignment="1">
      <alignment horizontal="center"/>
    </xf>
    <xf numFmtId="0" fontId="13" fillId="0" borderId="0" xfId="0" applyFont="1" applyAlignment="1">
      <alignment horizontal="left" vertical="center" wrapText="1"/>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2" fontId="2" fillId="0" borderId="2" xfId="0" applyNumberFormat="1" applyFont="1" applyBorder="1" applyAlignment="1">
      <alignment horizontal="center" vertical="center"/>
    </xf>
    <xf numFmtId="2" fontId="2" fillId="0" borderId="3" xfId="0" applyNumberFormat="1" applyFont="1" applyBorder="1" applyAlignment="1">
      <alignment horizontal="center" vertical="center"/>
    </xf>
    <xf numFmtId="2" fontId="0" fillId="0" borderId="3" xfId="0" applyNumberFormat="1" applyBorder="1" applyAlignment="1">
      <alignment horizontal="center" vertical="center"/>
    </xf>
    <xf numFmtId="2" fontId="0" fillId="0" borderId="2" xfId="0" applyNumberFormat="1" applyBorder="1" applyAlignment="1">
      <alignment horizontal="center" vertical="center"/>
    </xf>
    <xf numFmtId="0" fontId="5" fillId="2" borderId="0" xfId="0" applyFont="1" applyFill="1" applyAlignment="1">
      <alignment horizontal="center"/>
    </xf>
    <xf numFmtId="0" fontId="4" fillId="0" borderId="5" xfId="0" applyFont="1" applyBorder="1" applyAlignment="1">
      <alignment horizontal="center"/>
    </xf>
    <xf numFmtId="0" fontId="13" fillId="0" borderId="7" xfId="0" applyFont="1" applyBorder="1" applyAlignment="1">
      <alignment horizontal="center"/>
    </xf>
    <xf numFmtId="0" fontId="4" fillId="0" borderId="4" xfId="0" applyFont="1" applyBorder="1" applyAlignment="1">
      <alignment horizontal="center"/>
    </xf>
    <xf numFmtId="0" fontId="13" fillId="0" borderId="8" xfId="0" applyFont="1" applyBorder="1" applyAlignment="1">
      <alignment horizontal="center"/>
    </xf>
    <xf numFmtId="0" fontId="0" fillId="0" borderId="2" xfId="0" applyBorder="1" applyAlignment="1">
      <alignment horizontal="right"/>
    </xf>
    <xf numFmtId="0" fontId="0" fillId="0" borderId="0" xfId="0" applyBorder="1" applyAlignment="1">
      <alignment horizontal="right"/>
    </xf>
    <xf numFmtId="0" fontId="2" fillId="0" borderId="2" xfId="0" applyFont="1" applyBorder="1" applyAlignment="1">
      <alignment horizontal="right"/>
    </xf>
    <xf numFmtId="0" fontId="2" fillId="0" borderId="0" xfId="0" applyFont="1" applyBorder="1" applyAlignment="1">
      <alignment horizontal="right"/>
    </xf>
    <xf numFmtId="0" fontId="0" fillId="0" borderId="2" xfId="0" applyBorder="1"/>
    <xf numFmtId="0" fontId="0" fillId="0" borderId="0" xfId="0" applyBorder="1"/>
    <xf numFmtId="0" fontId="11" fillId="0" borderId="2" xfId="0" applyFont="1" applyBorder="1"/>
    <xf numFmtId="0" fontId="11" fillId="0" borderId="0" xfId="0" applyFont="1" applyBorder="1"/>
    <xf numFmtId="0" fontId="4" fillId="0" borderId="6" xfId="0" applyFont="1" applyBorder="1" applyAlignment="1">
      <alignment horizontal="center"/>
    </xf>
    <xf numFmtId="0" fontId="13" fillId="0" borderId="9" xfId="0" applyFont="1" applyBorder="1" applyAlignment="1">
      <alignment horizontal="center"/>
    </xf>
    <xf numFmtId="0" fontId="0" fillId="0" borderId="3" xfId="0" applyBorder="1" applyAlignment="1">
      <alignment horizontal="right"/>
    </xf>
    <xf numFmtId="0" fontId="2" fillId="0" borderId="3" xfId="0" applyFont="1" applyBorder="1" applyAlignment="1">
      <alignment horizontal="right"/>
    </xf>
    <xf numFmtId="0" fontId="0" fillId="0" borderId="3" xfId="0" applyBorder="1"/>
    <xf numFmtId="0" fontId="11" fillId="0" borderId="3" xfId="0" applyFont="1" applyBorder="1"/>
    <xf numFmtId="0" fontId="0" fillId="0" borderId="5" xfId="0" applyBorder="1" applyAlignment="1">
      <alignment horizontal="center"/>
    </xf>
    <xf numFmtId="0" fontId="0" fillId="0" borderId="4" xfId="0" applyBorder="1" applyAlignment="1">
      <alignment horizontal="center"/>
    </xf>
    <xf numFmtId="0" fontId="14" fillId="0" borderId="2" xfId="0" applyFont="1" applyBorder="1" applyAlignment="1">
      <alignment horizontal="right"/>
    </xf>
    <xf numFmtId="0" fontId="14" fillId="0" borderId="0" xfId="0" applyFont="1" applyBorder="1" applyAlignment="1">
      <alignment horizontal="right"/>
    </xf>
    <xf numFmtId="0" fontId="3" fillId="0" borderId="2" xfId="0" applyFont="1" applyBorder="1" applyAlignment="1">
      <alignment horizontal="right"/>
    </xf>
    <xf numFmtId="0" fontId="3" fillId="0" borderId="0" xfId="0" applyFont="1" applyBorder="1" applyAlignment="1">
      <alignment horizontal="right"/>
    </xf>
    <xf numFmtId="0" fontId="2" fillId="0" borderId="2" xfId="0" applyFont="1" applyBorder="1" applyAlignment="1">
      <alignment horizontal="left"/>
    </xf>
    <xf numFmtId="0" fontId="2" fillId="0" borderId="0" xfId="0" applyFont="1" applyBorder="1" applyAlignment="1">
      <alignment horizontal="left"/>
    </xf>
    <xf numFmtId="0" fontId="0" fillId="0" borderId="6" xfId="0" applyBorder="1" applyAlignment="1">
      <alignment horizontal="center"/>
    </xf>
    <xf numFmtId="0" fontId="14" fillId="0" borderId="3" xfId="0" applyFont="1" applyBorder="1" applyAlignment="1">
      <alignment horizontal="right"/>
    </xf>
    <xf numFmtId="0" fontId="3" fillId="0" borderId="3" xfId="0" applyFont="1" applyBorder="1" applyAlignment="1">
      <alignment horizontal="right"/>
    </xf>
    <xf numFmtId="0" fontId="2" fillId="0" borderId="3" xfId="0" applyFont="1" applyBorder="1" applyAlignment="1">
      <alignment horizontal="left"/>
    </xf>
    <xf numFmtId="0" fontId="13" fillId="0" borderId="0" xfId="0" applyFont="1" applyAlignment="1">
      <alignment horizontal="center"/>
    </xf>
    <xf numFmtId="0" fontId="13" fillId="0" borderId="5" xfId="0" applyFont="1" applyBorder="1" applyAlignment="1">
      <alignment horizontal="center"/>
    </xf>
    <xf numFmtId="0" fontId="1" fillId="2" borderId="0" xfId="0" applyFont="1" applyFill="1" applyAlignment="1"/>
    <xf numFmtId="0" fontId="4" fillId="0" borderId="5" xfId="0" applyFont="1" applyBorder="1" applyAlignment="1">
      <alignment horizontal="center"/>
    </xf>
    <xf numFmtId="0" fontId="1" fillId="0" borderId="0" xfId="0" applyFont="1" applyAlignment="1">
      <alignment horizontal="center"/>
    </xf>
    <xf numFmtId="0" fontId="1" fillId="0" borderId="0" xfId="0" applyFont="1" applyBorder="1" applyAlignment="1">
      <alignment horizontal="center"/>
    </xf>
    <xf numFmtId="0" fontId="1" fillId="0" borderId="2" xfId="0" applyFont="1" applyBorder="1" applyAlignment="1">
      <alignment horizontal="center"/>
    </xf>
    <xf numFmtId="0" fontId="13" fillId="0" borderId="4" xfId="0" applyFont="1" applyBorder="1" applyAlignment="1">
      <alignment horizontal="center"/>
    </xf>
    <xf numFmtId="0" fontId="1" fillId="0" borderId="3" xfId="0" applyFont="1" applyBorder="1" applyAlignment="1">
      <alignment horizontal="center"/>
    </xf>
    <xf numFmtId="0" fontId="13" fillId="0" borderId="6" xfId="0" applyFont="1" applyBorder="1" applyAlignment="1">
      <alignment horizontal="center"/>
    </xf>
    <xf numFmtId="0" fontId="13" fillId="0" borderId="0" xfId="0" applyFont="1" applyBorder="1" applyAlignment="1">
      <alignment horizontal="center"/>
    </xf>
    <xf numFmtId="0" fontId="13" fillId="0" borderId="2" xfId="0" applyFont="1" applyBorder="1" applyAlignment="1">
      <alignment horizontal="center"/>
    </xf>
    <xf numFmtId="4" fontId="0" fillId="0" borderId="0" xfId="0" applyNumberFormat="1" applyBorder="1"/>
    <xf numFmtId="0" fontId="5" fillId="0" borderId="0" xfId="0" applyFont="1" applyBorder="1" applyAlignment="1">
      <alignment horizontal="center"/>
    </xf>
    <xf numFmtId="0" fontId="5" fillId="0" borderId="5" xfId="0" applyFont="1" applyBorder="1"/>
    <xf numFmtId="0" fontId="5" fillId="0" borderId="2" xfId="0" applyFont="1" applyBorder="1" applyAlignment="1">
      <alignment horizontal="center"/>
    </xf>
    <xf numFmtId="0" fontId="5" fillId="0" borderId="4" xfId="0" applyFont="1" applyBorder="1"/>
    <xf numFmtId="0" fontId="2" fillId="0" borderId="2" xfId="0" applyFont="1" applyBorder="1"/>
    <xf numFmtId="0" fontId="2" fillId="0" borderId="0" xfId="0" applyFont="1" applyBorder="1"/>
    <xf numFmtId="4" fontId="0" fillId="0" borderId="2" xfId="0" applyNumberFormat="1" applyBorder="1"/>
    <xf numFmtId="0" fontId="13" fillId="0" borderId="3" xfId="0" applyFont="1" applyBorder="1" applyAlignment="1">
      <alignment horizontal="center"/>
    </xf>
    <xf numFmtId="0" fontId="5" fillId="0" borderId="3" xfId="0" applyFont="1" applyBorder="1" applyAlignment="1">
      <alignment horizontal="center"/>
    </xf>
    <xf numFmtId="0" fontId="5" fillId="0" borderId="6" xfId="0" applyFont="1" applyBorder="1"/>
    <xf numFmtId="0" fontId="2" fillId="0" borderId="3" xfId="0" applyFont="1" applyBorder="1"/>
    <xf numFmtId="0" fontId="4" fillId="0" borderId="0"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16"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10604-D738-6941-A81C-19DFBAAE9EEA}">
  <dimension ref="A1:AE16"/>
  <sheetViews>
    <sheetView workbookViewId="0">
      <selection activeCell="N23" sqref="N23"/>
    </sheetView>
  </sheetViews>
  <sheetFormatPr baseColWidth="10" defaultRowHeight="16" x14ac:dyDescent="0.2"/>
  <cols>
    <col min="2" max="31" width="10.83203125" style="31"/>
  </cols>
  <sheetData>
    <row r="1" spans="1:31" s="15" customFormat="1" ht="15" x14ac:dyDescent="0.2">
      <c r="A1" s="40" t="s">
        <v>143</v>
      </c>
      <c r="B1" s="40"/>
      <c r="C1" s="40"/>
      <c r="D1" s="40"/>
      <c r="E1" s="40"/>
      <c r="F1" s="40"/>
      <c r="G1" s="40"/>
      <c r="H1" s="40"/>
      <c r="I1" s="40"/>
      <c r="J1" s="40"/>
      <c r="K1" s="40"/>
      <c r="L1" s="40"/>
      <c r="M1" s="40"/>
      <c r="N1" s="40"/>
      <c r="O1" s="40"/>
      <c r="P1" s="40"/>
      <c r="Q1" s="32"/>
      <c r="R1" s="32"/>
      <c r="S1" s="32"/>
      <c r="T1" s="32"/>
      <c r="U1" s="32"/>
      <c r="V1" s="32"/>
      <c r="W1" s="32"/>
      <c r="X1" s="32"/>
      <c r="Y1" s="32"/>
      <c r="Z1" s="32"/>
      <c r="AA1" s="32"/>
      <c r="AB1" s="32"/>
      <c r="AC1" s="32"/>
      <c r="AD1" s="32"/>
      <c r="AE1" s="32"/>
    </row>
    <row r="2" spans="1:31" s="15" customFormat="1" ht="15" x14ac:dyDescent="0.2">
      <c r="A2" s="29"/>
      <c r="B2" s="33"/>
      <c r="C2" s="33"/>
      <c r="D2" s="33"/>
      <c r="E2" s="33"/>
      <c r="F2" s="33"/>
      <c r="G2" s="33"/>
      <c r="H2" s="33"/>
      <c r="I2" s="33"/>
      <c r="J2" s="33"/>
      <c r="K2" s="33"/>
      <c r="L2" s="33"/>
      <c r="M2" s="33"/>
      <c r="N2" s="33"/>
      <c r="O2" s="33"/>
      <c r="P2" s="33"/>
      <c r="Q2" s="32"/>
      <c r="R2" s="32"/>
      <c r="S2" s="32"/>
      <c r="T2" s="32"/>
      <c r="U2" s="32"/>
      <c r="V2" s="32"/>
      <c r="W2" s="32"/>
      <c r="X2" s="32"/>
      <c r="Y2" s="32"/>
      <c r="Z2" s="32"/>
      <c r="AA2" s="32"/>
      <c r="AB2" s="32"/>
      <c r="AC2" s="32"/>
      <c r="AD2" s="32"/>
      <c r="AE2" s="32"/>
    </row>
    <row r="3" spans="1:31" s="15" customFormat="1" ht="15" x14ac:dyDescent="0.2">
      <c r="A3" s="29"/>
      <c r="B3" s="33"/>
      <c r="C3" s="33"/>
      <c r="D3" s="33"/>
      <c r="E3" s="33"/>
      <c r="F3" s="33"/>
      <c r="G3" s="33"/>
      <c r="H3" s="33"/>
      <c r="I3" s="33"/>
      <c r="J3" s="33"/>
      <c r="K3" s="33"/>
      <c r="L3" s="33"/>
      <c r="M3" s="33"/>
      <c r="N3" s="33"/>
      <c r="O3" s="33"/>
      <c r="P3" s="33"/>
      <c r="Q3" s="32"/>
      <c r="R3" s="32"/>
      <c r="S3" s="32"/>
      <c r="T3" s="32"/>
      <c r="U3" s="32"/>
      <c r="V3" s="32"/>
      <c r="W3" s="32"/>
      <c r="X3" s="32"/>
      <c r="Y3" s="32"/>
      <c r="Z3" s="32"/>
      <c r="AA3" s="32"/>
      <c r="AB3" s="32"/>
      <c r="AC3" s="32"/>
      <c r="AD3" s="32"/>
      <c r="AE3" s="32"/>
    </row>
    <row r="4" spans="1:31" x14ac:dyDescent="0.2">
      <c r="B4" s="46" t="s">
        <v>88</v>
      </c>
      <c r="C4" s="47"/>
      <c r="D4" s="48"/>
      <c r="E4" s="47" t="s">
        <v>89</v>
      </c>
      <c r="F4" s="47"/>
      <c r="G4" s="47"/>
      <c r="H4" s="46" t="s">
        <v>1</v>
      </c>
      <c r="I4" s="47"/>
      <c r="J4" s="48"/>
      <c r="K4" s="47" t="s">
        <v>2</v>
      </c>
      <c r="L4" s="47"/>
      <c r="M4" s="47"/>
      <c r="N4" s="47" t="s">
        <v>90</v>
      </c>
      <c r="O4" s="47"/>
      <c r="P4" s="48"/>
      <c r="Q4" s="47" t="s">
        <v>3</v>
      </c>
      <c r="R4" s="47"/>
      <c r="S4" s="47"/>
      <c r="T4" s="46" t="s">
        <v>91</v>
      </c>
      <c r="U4" s="47"/>
      <c r="V4" s="48"/>
      <c r="W4" s="47" t="s">
        <v>71</v>
      </c>
      <c r="X4" s="47"/>
      <c r="Y4" s="47"/>
      <c r="Z4" s="46" t="s">
        <v>72</v>
      </c>
      <c r="AA4" s="47"/>
      <c r="AB4" s="48"/>
      <c r="AC4" s="47" t="s">
        <v>92</v>
      </c>
      <c r="AD4" s="47"/>
      <c r="AE4" s="47"/>
    </row>
    <row r="5" spans="1:31" x14ac:dyDescent="0.2">
      <c r="A5" s="33" t="s">
        <v>93</v>
      </c>
      <c r="B5" s="49" t="s">
        <v>5</v>
      </c>
      <c r="C5" s="50" t="s">
        <v>6</v>
      </c>
      <c r="D5" s="51" t="s">
        <v>7</v>
      </c>
      <c r="E5" s="50" t="s">
        <v>5</v>
      </c>
      <c r="F5" s="50" t="s">
        <v>6</v>
      </c>
      <c r="G5" s="50" t="s">
        <v>7</v>
      </c>
      <c r="H5" s="49" t="s">
        <v>5</v>
      </c>
      <c r="I5" s="50" t="s">
        <v>6</v>
      </c>
      <c r="J5" s="51" t="s">
        <v>7</v>
      </c>
      <c r="K5" s="50" t="s">
        <v>5</v>
      </c>
      <c r="L5" s="50" t="s">
        <v>6</v>
      </c>
      <c r="M5" s="50" t="s">
        <v>7</v>
      </c>
      <c r="N5" s="50" t="s">
        <v>5</v>
      </c>
      <c r="O5" s="50" t="s">
        <v>6</v>
      </c>
      <c r="P5" s="51" t="s">
        <v>7</v>
      </c>
      <c r="Q5" s="50" t="s">
        <v>5</v>
      </c>
      <c r="R5" s="50" t="s">
        <v>6</v>
      </c>
      <c r="S5" s="50" t="s">
        <v>7</v>
      </c>
      <c r="T5" s="49" t="s">
        <v>5</v>
      </c>
      <c r="U5" s="50" t="s">
        <v>6</v>
      </c>
      <c r="V5" s="51" t="s">
        <v>7</v>
      </c>
      <c r="W5" s="50" t="s">
        <v>5</v>
      </c>
      <c r="X5" s="50" t="s">
        <v>6</v>
      </c>
      <c r="Y5" s="50" t="s">
        <v>7</v>
      </c>
      <c r="Z5" s="49" t="s">
        <v>5</v>
      </c>
      <c r="AA5" s="50" t="s">
        <v>6</v>
      </c>
      <c r="AB5" s="51" t="s">
        <v>7</v>
      </c>
      <c r="AC5" s="50" t="s">
        <v>5</v>
      </c>
      <c r="AD5" s="50" t="s">
        <v>6</v>
      </c>
      <c r="AE5" s="50" t="s">
        <v>7</v>
      </c>
    </row>
    <row r="6" spans="1:31" x14ac:dyDescent="0.2">
      <c r="A6" s="7">
        <v>1</v>
      </c>
      <c r="B6" s="52">
        <v>2.9</v>
      </c>
      <c r="C6" s="34">
        <v>2.2999999999999998</v>
      </c>
      <c r="D6" s="53">
        <v>2.2999999999999998</v>
      </c>
      <c r="E6" s="35" t="s">
        <v>94</v>
      </c>
      <c r="F6" s="35" t="s">
        <v>94</v>
      </c>
      <c r="G6" s="35" t="s">
        <v>94</v>
      </c>
      <c r="H6" s="52">
        <v>1.2</v>
      </c>
      <c r="I6" s="34">
        <v>1.4</v>
      </c>
      <c r="J6" s="53">
        <v>1.2</v>
      </c>
      <c r="K6" s="35" t="s">
        <v>94</v>
      </c>
      <c r="L6" s="35" t="s">
        <v>94</v>
      </c>
      <c r="M6" s="35" t="s">
        <v>94</v>
      </c>
      <c r="N6" s="35" t="s">
        <v>94</v>
      </c>
      <c r="O6" s="35" t="s">
        <v>94</v>
      </c>
      <c r="P6" s="54" t="s">
        <v>94</v>
      </c>
      <c r="Q6" s="34">
        <v>5.8</v>
      </c>
      <c r="R6" s="34">
        <v>5.2</v>
      </c>
      <c r="S6" s="34">
        <v>5.2</v>
      </c>
      <c r="T6" s="52">
        <v>15</v>
      </c>
      <c r="U6" s="34">
        <v>13.1</v>
      </c>
      <c r="V6" s="53">
        <v>12.3</v>
      </c>
      <c r="W6" s="34">
        <v>6.7</v>
      </c>
      <c r="X6" s="34">
        <v>6.2</v>
      </c>
      <c r="Y6" s="34">
        <v>6.6</v>
      </c>
      <c r="Z6" s="52">
        <v>7</v>
      </c>
      <c r="AA6" s="34">
        <v>6.1</v>
      </c>
      <c r="AB6" s="53">
        <v>7</v>
      </c>
      <c r="AC6" s="34">
        <v>11</v>
      </c>
      <c r="AD6" s="34">
        <v>10.9</v>
      </c>
      <c r="AE6" s="34">
        <v>10.8</v>
      </c>
    </row>
    <row r="7" spans="1:31" x14ac:dyDescent="0.2">
      <c r="A7" s="7">
        <v>2</v>
      </c>
      <c r="B7" s="55" t="s">
        <v>94</v>
      </c>
      <c r="C7" s="35" t="s">
        <v>94</v>
      </c>
      <c r="D7" s="54" t="s">
        <v>94</v>
      </c>
      <c r="E7" s="35" t="s">
        <v>94</v>
      </c>
      <c r="F7" s="35" t="s">
        <v>94</v>
      </c>
      <c r="G7" s="35" t="s">
        <v>94</v>
      </c>
      <c r="H7" s="55" t="s">
        <v>94</v>
      </c>
      <c r="I7" s="35" t="s">
        <v>94</v>
      </c>
      <c r="J7" s="54" t="s">
        <v>94</v>
      </c>
      <c r="K7" s="35" t="s">
        <v>94</v>
      </c>
      <c r="L7" s="35" t="s">
        <v>94</v>
      </c>
      <c r="M7" s="35" t="s">
        <v>94</v>
      </c>
      <c r="N7" s="35" t="s">
        <v>94</v>
      </c>
      <c r="O7" s="35" t="s">
        <v>94</v>
      </c>
      <c r="P7" s="54" t="s">
        <v>94</v>
      </c>
      <c r="Q7" s="34">
        <v>33.799999999999997</v>
      </c>
      <c r="R7" s="34">
        <v>31.2</v>
      </c>
      <c r="S7" s="34">
        <v>28.5</v>
      </c>
      <c r="T7" s="55" t="s">
        <v>94</v>
      </c>
      <c r="U7" s="35" t="s">
        <v>94</v>
      </c>
      <c r="V7" s="54" t="s">
        <v>94</v>
      </c>
      <c r="W7" s="35" t="s">
        <v>94</v>
      </c>
      <c r="X7" s="35" t="s">
        <v>94</v>
      </c>
      <c r="Y7" s="35" t="s">
        <v>94</v>
      </c>
      <c r="Z7" s="52">
        <v>31.2</v>
      </c>
      <c r="AA7" s="34">
        <v>27.9</v>
      </c>
      <c r="AB7" s="53">
        <v>27.3</v>
      </c>
      <c r="AC7" s="35" t="s">
        <v>94</v>
      </c>
      <c r="AD7" s="35" t="s">
        <v>94</v>
      </c>
      <c r="AE7" s="35" t="s">
        <v>94</v>
      </c>
    </row>
    <row r="8" spans="1:31" x14ac:dyDescent="0.2">
      <c r="A8" s="7">
        <v>3</v>
      </c>
      <c r="B8" s="55" t="s">
        <v>94</v>
      </c>
      <c r="C8" s="35" t="s">
        <v>94</v>
      </c>
      <c r="D8" s="54" t="s">
        <v>94</v>
      </c>
      <c r="E8" s="35" t="s">
        <v>94</v>
      </c>
      <c r="F8" s="35" t="s">
        <v>94</v>
      </c>
      <c r="G8" s="35" t="s">
        <v>94</v>
      </c>
      <c r="H8" s="52">
        <v>7.2</v>
      </c>
      <c r="I8" s="34">
        <v>7.1</v>
      </c>
      <c r="J8" s="53">
        <v>5</v>
      </c>
      <c r="K8" s="34">
        <v>33.299999999999997</v>
      </c>
      <c r="L8" s="34">
        <v>34.5</v>
      </c>
      <c r="M8" s="34">
        <v>33.799999999999997</v>
      </c>
      <c r="N8" s="35" t="s">
        <v>94</v>
      </c>
      <c r="O8" s="35" t="s">
        <v>94</v>
      </c>
      <c r="P8" s="54" t="s">
        <v>94</v>
      </c>
      <c r="Q8" s="34">
        <v>5.2</v>
      </c>
      <c r="R8" s="34">
        <v>5.4</v>
      </c>
      <c r="S8" s="34">
        <v>6.6</v>
      </c>
      <c r="T8" s="55" t="s">
        <v>94</v>
      </c>
      <c r="U8" s="35" t="s">
        <v>94</v>
      </c>
      <c r="V8" s="54" t="s">
        <v>94</v>
      </c>
      <c r="W8" s="35" t="s">
        <v>94</v>
      </c>
      <c r="X8" s="35" t="s">
        <v>94</v>
      </c>
      <c r="Y8" s="35" t="s">
        <v>94</v>
      </c>
      <c r="Z8" s="52">
        <v>3.2</v>
      </c>
      <c r="AA8" s="34">
        <v>3.1</v>
      </c>
      <c r="AB8" s="53">
        <v>2.5</v>
      </c>
      <c r="AC8" s="35" t="s">
        <v>94</v>
      </c>
      <c r="AD8" s="35" t="s">
        <v>94</v>
      </c>
      <c r="AE8" s="35" t="s">
        <v>94</v>
      </c>
    </row>
    <row r="9" spans="1:31" x14ac:dyDescent="0.2">
      <c r="A9" s="7">
        <v>4</v>
      </c>
      <c r="B9" s="52">
        <v>2.7</v>
      </c>
      <c r="C9" s="34">
        <v>2.9</v>
      </c>
      <c r="D9" s="53">
        <v>3.6</v>
      </c>
      <c r="E9" s="35" t="s">
        <v>94</v>
      </c>
      <c r="F9" s="35" t="s">
        <v>94</v>
      </c>
      <c r="G9" s="35" t="s">
        <v>94</v>
      </c>
      <c r="H9" s="52" t="s">
        <v>94</v>
      </c>
      <c r="I9" s="34" t="s">
        <v>94</v>
      </c>
      <c r="J9" s="53" t="s">
        <v>94</v>
      </c>
      <c r="K9" s="34" t="s">
        <v>94</v>
      </c>
      <c r="L9" s="34" t="s">
        <v>94</v>
      </c>
      <c r="M9" s="34" t="s">
        <v>94</v>
      </c>
      <c r="N9" s="34" t="s">
        <v>94</v>
      </c>
      <c r="O9" s="34" t="s">
        <v>94</v>
      </c>
      <c r="P9" s="53" t="s">
        <v>94</v>
      </c>
      <c r="Q9" s="34">
        <v>4.8</v>
      </c>
      <c r="R9" s="34">
        <v>2.7</v>
      </c>
      <c r="S9" s="34">
        <v>3.8</v>
      </c>
      <c r="T9" s="55" t="s">
        <v>94</v>
      </c>
      <c r="U9" s="35" t="s">
        <v>94</v>
      </c>
      <c r="V9" s="54" t="s">
        <v>94</v>
      </c>
      <c r="W9" s="35" t="s">
        <v>94</v>
      </c>
      <c r="X9" s="35" t="s">
        <v>94</v>
      </c>
      <c r="Y9" s="35" t="s">
        <v>94</v>
      </c>
      <c r="Z9" s="52" t="s">
        <v>94</v>
      </c>
      <c r="AA9" s="34" t="s">
        <v>94</v>
      </c>
      <c r="AB9" s="53" t="s">
        <v>94</v>
      </c>
      <c r="AC9" s="34" t="s">
        <v>94</v>
      </c>
      <c r="AD9" s="34" t="s">
        <v>94</v>
      </c>
      <c r="AE9" s="34" t="s">
        <v>94</v>
      </c>
    </row>
    <row r="10" spans="1:31" x14ac:dyDescent="0.2">
      <c r="A10" s="7">
        <v>5</v>
      </c>
      <c r="B10" s="55" t="s">
        <v>94</v>
      </c>
      <c r="C10" s="35" t="s">
        <v>94</v>
      </c>
      <c r="D10" s="54" t="s">
        <v>94</v>
      </c>
      <c r="E10" s="35" t="s">
        <v>94</v>
      </c>
      <c r="F10" s="35" t="s">
        <v>94</v>
      </c>
      <c r="G10" s="35" t="s">
        <v>94</v>
      </c>
      <c r="H10" s="52">
        <v>8.2079657699999995</v>
      </c>
      <c r="I10" s="34">
        <v>10.332797100000001</v>
      </c>
      <c r="J10" s="53">
        <v>10.0042779</v>
      </c>
      <c r="K10" s="34">
        <v>20.253274099999999</v>
      </c>
      <c r="L10" s="34">
        <v>18.477013700000001</v>
      </c>
      <c r="M10" s="34">
        <v>16.923419800000001</v>
      </c>
      <c r="N10" s="35" t="s">
        <v>94</v>
      </c>
      <c r="O10" s="35" t="s">
        <v>94</v>
      </c>
      <c r="P10" s="54" t="s">
        <v>94</v>
      </c>
      <c r="Q10" s="34">
        <v>4.6809906899999998</v>
      </c>
      <c r="R10" s="34">
        <v>5.4404602899999999</v>
      </c>
      <c r="S10" s="34">
        <v>5.13410587</v>
      </c>
      <c r="T10" s="55" t="s">
        <v>94</v>
      </c>
      <c r="U10" s="35" t="s">
        <v>94</v>
      </c>
      <c r="V10" s="54" t="s">
        <v>94</v>
      </c>
      <c r="W10" s="35" t="s">
        <v>94</v>
      </c>
      <c r="X10" s="35" t="s">
        <v>94</v>
      </c>
      <c r="Y10" s="35" t="s">
        <v>94</v>
      </c>
      <c r="Z10" s="55" t="s">
        <v>94</v>
      </c>
      <c r="AA10" s="35" t="s">
        <v>94</v>
      </c>
      <c r="AB10" s="54" t="s">
        <v>94</v>
      </c>
      <c r="AC10" s="35" t="s">
        <v>94</v>
      </c>
      <c r="AD10" s="35" t="s">
        <v>94</v>
      </c>
      <c r="AE10" s="35" t="s">
        <v>94</v>
      </c>
    </row>
    <row r="11" spans="1:31" x14ac:dyDescent="0.2">
      <c r="A11" s="7">
        <v>6</v>
      </c>
      <c r="B11" s="52">
        <v>8.8957889899999998</v>
      </c>
      <c r="C11" s="34">
        <v>5.7061077200000003</v>
      </c>
      <c r="D11" s="53">
        <v>7.2057696199999999</v>
      </c>
      <c r="E11" s="34">
        <v>37.554769700000001</v>
      </c>
      <c r="F11" s="34">
        <v>15.8246468</v>
      </c>
      <c r="G11" s="34">
        <v>24.763369000000001</v>
      </c>
      <c r="H11" s="55" t="s">
        <v>94</v>
      </c>
      <c r="I11" s="35" t="s">
        <v>94</v>
      </c>
      <c r="J11" s="54" t="s">
        <v>94</v>
      </c>
      <c r="K11" s="34">
        <v>4.8790292800000001</v>
      </c>
      <c r="L11" s="34">
        <v>7.6783079900000004</v>
      </c>
      <c r="M11" s="34">
        <v>9.8174580799999998</v>
      </c>
      <c r="N11" s="35" t="s">
        <v>94</v>
      </c>
      <c r="O11" s="35" t="s">
        <v>94</v>
      </c>
      <c r="P11" s="54" t="s">
        <v>94</v>
      </c>
      <c r="Q11" s="35" t="s">
        <v>94</v>
      </c>
      <c r="R11" s="35" t="s">
        <v>94</v>
      </c>
      <c r="S11" s="35" t="s">
        <v>94</v>
      </c>
      <c r="T11" s="55" t="s">
        <v>94</v>
      </c>
      <c r="U11" s="35" t="s">
        <v>94</v>
      </c>
      <c r="V11" s="54" t="s">
        <v>94</v>
      </c>
      <c r="W11" s="35" t="s">
        <v>94</v>
      </c>
      <c r="X11" s="35" t="s">
        <v>94</v>
      </c>
      <c r="Y11" s="35" t="s">
        <v>94</v>
      </c>
      <c r="Z11" s="55" t="s">
        <v>94</v>
      </c>
      <c r="AA11" s="35" t="s">
        <v>94</v>
      </c>
      <c r="AB11" s="54" t="s">
        <v>94</v>
      </c>
      <c r="AC11" s="35" t="s">
        <v>94</v>
      </c>
      <c r="AD11" s="35" t="s">
        <v>94</v>
      </c>
      <c r="AE11" s="35" t="s">
        <v>94</v>
      </c>
    </row>
    <row r="12" spans="1:31" x14ac:dyDescent="0.2">
      <c r="A12" s="7">
        <v>7</v>
      </c>
      <c r="B12" s="55" t="s">
        <v>94</v>
      </c>
      <c r="C12" s="35" t="s">
        <v>94</v>
      </c>
      <c r="D12" s="54" t="s">
        <v>94</v>
      </c>
      <c r="E12" s="35" t="s">
        <v>94</v>
      </c>
      <c r="F12" s="35" t="s">
        <v>94</v>
      </c>
      <c r="G12" s="35" t="s">
        <v>94</v>
      </c>
      <c r="H12" s="52" t="s">
        <v>94</v>
      </c>
      <c r="I12" s="34" t="s">
        <v>94</v>
      </c>
      <c r="J12" s="53" t="s">
        <v>94</v>
      </c>
      <c r="K12" s="34">
        <v>23.7304019</v>
      </c>
      <c r="L12" s="34">
        <v>28.946816800000001</v>
      </c>
      <c r="M12" s="34">
        <v>26.243846600000001</v>
      </c>
      <c r="N12" s="35" t="s">
        <v>94</v>
      </c>
      <c r="O12" s="35" t="s">
        <v>94</v>
      </c>
      <c r="P12" s="54" t="s">
        <v>94</v>
      </c>
      <c r="Q12" s="34">
        <v>6.3109612459999997</v>
      </c>
      <c r="R12" s="34">
        <v>4.087854514</v>
      </c>
      <c r="S12" s="34">
        <v>6.3058116289999999</v>
      </c>
      <c r="T12" s="55" t="s">
        <v>94</v>
      </c>
      <c r="U12" s="35" t="s">
        <v>94</v>
      </c>
      <c r="V12" s="54" t="s">
        <v>94</v>
      </c>
      <c r="W12" s="35" t="s">
        <v>94</v>
      </c>
      <c r="X12" s="35" t="s">
        <v>94</v>
      </c>
      <c r="Y12" s="35" t="s">
        <v>94</v>
      </c>
      <c r="Z12" s="52" t="s">
        <v>94</v>
      </c>
      <c r="AA12" s="34" t="s">
        <v>94</v>
      </c>
      <c r="AB12" s="53" t="s">
        <v>94</v>
      </c>
      <c r="AC12" s="34" t="s">
        <v>94</v>
      </c>
      <c r="AD12" s="34" t="s">
        <v>94</v>
      </c>
      <c r="AE12" s="34" t="s">
        <v>94</v>
      </c>
    </row>
    <row r="13" spans="1:31" x14ac:dyDescent="0.2">
      <c r="A13" s="7">
        <v>8</v>
      </c>
      <c r="B13" s="52" t="s">
        <v>94</v>
      </c>
      <c r="C13" s="34" t="s">
        <v>94</v>
      </c>
      <c r="D13" s="53" t="s">
        <v>94</v>
      </c>
      <c r="E13" s="34" t="s">
        <v>94</v>
      </c>
      <c r="F13" s="34" t="s">
        <v>94</v>
      </c>
      <c r="G13" s="34" t="s">
        <v>94</v>
      </c>
      <c r="H13" s="52" t="s">
        <v>94</v>
      </c>
      <c r="I13" s="34" t="s">
        <v>94</v>
      </c>
      <c r="J13" s="53" t="s">
        <v>94</v>
      </c>
      <c r="K13" s="34">
        <v>25.7295056</v>
      </c>
      <c r="L13" s="34">
        <v>17.173532600000001</v>
      </c>
      <c r="M13" s="34">
        <v>13.6929871</v>
      </c>
      <c r="N13" s="35" t="s">
        <v>94</v>
      </c>
      <c r="O13" s="35" t="s">
        <v>94</v>
      </c>
      <c r="P13" s="54" t="s">
        <v>94</v>
      </c>
      <c r="Q13" s="34">
        <v>4.6872632799999998</v>
      </c>
      <c r="R13" s="34">
        <v>3.8881557099999999</v>
      </c>
      <c r="S13" s="34">
        <v>3.7272724400000001</v>
      </c>
      <c r="T13" s="55" t="s">
        <v>94</v>
      </c>
      <c r="U13" s="35" t="s">
        <v>94</v>
      </c>
      <c r="V13" s="54" t="s">
        <v>94</v>
      </c>
      <c r="W13" s="34">
        <v>3.4927019800000001</v>
      </c>
      <c r="X13" s="34">
        <v>3.5126197700000001</v>
      </c>
      <c r="Y13" s="34">
        <v>4.3707868400000001</v>
      </c>
      <c r="Z13" s="52">
        <v>5.4264267000000004</v>
      </c>
      <c r="AA13" s="34">
        <v>4.3770058799999996</v>
      </c>
      <c r="AB13" s="53">
        <v>4.6948214300000002</v>
      </c>
      <c r="AC13" s="35" t="s">
        <v>94</v>
      </c>
      <c r="AD13" s="35" t="s">
        <v>94</v>
      </c>
      <c r="AE13" s="35" t="s">
        <v>94</v>
      </c>
    </row>
    <row r="14" spans="1:31" x14ac:dyDescent="0.2">
      <c r="A14" s="7">
        <v>9</v>
      </c>
      <c r="B14" s="55" t="s">
        <v>94</v>
      </c>
      <c r="C14" s="35" t="s">
        <v>94</v>
      </c>
      <c r="D14" s="54" t="s">
        <v>94</v>
      </c>
      <c r="E14" s="35" t="s">
        <v>94</v>
      </c>
      <c r="F14" s="35" t="s">
        <v>94</v>
      </c>
      <c r="G14" s="35" t="s">
        <v>94</v>
      </c>
      <c r="H14" s="52" t="s">
        <v>94</v>
      </c>
      <c r="I14" s="34" t="s">
        <v>94</v>
      </c>
      <c r="J14" s="53" t="s">
        <v>94</v>
      </c>
      <c r="K14" s="34">
        <v>6.9944390700000003</v>
      </c>
      <c r="L14" s="34">
        <v>3.0043232899999999</v>
      </c>
      <c r="M14" s="34">
        <v>2.95999766</v>
      </c>
      <c r="N14" s="35" t="s">
        <v>94</v>
      </c>
      <c r="O14" s="35" t="s">
        <v>94</v>
      </c>
      <c r="P14" s="54" t="s">
        <v>94</v>
      </c>
      <c r="Q14" s="34">
        <v>4.2014564700000001</v>
      </c>
      <c r="R14" s="34">
        <v>1.57846186</v>
      </c>
      <c r="S14" s="34">
        <v>1.25081668</v>
      </c>
      <c r="T14" s="55" t="s">
        <v>94</v>
      </c>
      <c r="U14" s="35" t="s">
        <v>94</v>
      </c>
      <c r="V14" s="54" t="s">
        <v>94</v>
      </c>
      <c r="W14" s="35" t="s">
        <v>94</v>
      </c>
      <c r="X14" s="35" t="s">
        <v>94</v>
      </c>
      <c r="Y14" s="35" t="s">
        <v>94</v>
      </c>
      <c r="Z14" s="52">
        <v>2.6970561000000002</v>
      </c>
      <c r="AA14" s="34">
        <v>1.3536210799999999</v>
      </c>
      <c r="AB14" s="53">
        <v>0.86243196</v>
      </c>
      <c r="AC14" s="35" t="s">
        <v>94</v>
      </c>
      <c r="AD14" s="35" t="s">
        <v>94</v>
      </c>
      <c r="AE14" s="35" t="s">
        <v>94</v>
      </c>
    </row>
    <row r="15" spans="1:31" x14ac:dyDescent="0.2">
      <c r="A15" s="7">
        <v>10</v>
      </c>
      <c r="B15" s="52" t="s">
        <v>94</v>
      </c>
      <c r="C15" s="34" t="s">
        <v>94</v>
      </c>
      <c r="D15" s="53" t="s">
        <v>94</v>
      </c>
      <c r="E15" s="34" t="s">
        <v>94</v>
      </c>
      <c r="F15" s="34" t="s">
        <v>94</v>
      </c>
      <c r="G15" s="34" t="s">
        <v>94</v>
      </c>
      <c r="H15" s="52" t="s">
        <v>94</v>
      </c>
      <c r="I15" s="34" t="s">
        <v>94</v>
      </c>
      <c r="J15" s="53" t="s">
        <v>94</v>
      </c>
      <c r="K15" s="34">
        <v>23.677120970000001</v>
      </c>
      <c r="L15" s="34">
        <v>14.65998119</v>
      </c>
      <c r="M15" s="34">
        <v>22.495444580000001</v>
      </c>
      <c r="N15" s="35" t="s">
        <v>94</v>
      </c>
      <c r="O15" s="35" t="s">
        <v>94</v>
      </c>
      <c r="P15" s="54" t="s">
        <v>94</v>
      </c>
      <c r="Q15" s="34">
        <v>12.8907965</v>
      </c>
      <c r="R15" s="34">
        <v>15.2601464</v>
      </c>
      <c r="S15" s="34">
        <v>13.445644400000001</v>
      </c>
      <c r="T15" s="55" t="s">
        <v>94</v>
      </c>
      <c r="U15" s="35" t="s">
        <v>94</v>
      </c>
      <c r="V15" s="54" t="s">
        <v>94</v>
      </c>
      <c r="W15" s="35" t="s">
        <v>94</v>
      </c>
      <c r="X15" s="35" t="s">
        <v>94</v>
      </c>
      <c r="Y15" s="35" t="s">
        <v>94</v>
      </c>
      <c r="Z15" s="52">
        <v>4.5833648</v>
      </c>
      <c r="AA15" s="34">
        <v>5.3599097699999998</v>
      </c>
      <c r="AB15" s="53">
        <v>4.5269657299999997</v>
      </c>
      <c r="AC15" s="35" t="s">
        <v>94</v>
      </c>
      <c r="AD15" s="35" t="s">
        <v>94</v>
      </c>
      <c r="AE15" s="35" t="s">
        <v>94</v>
      </c>
    </row>
    <row r="16" spans="1:31" x14ac:dyDescent="0.2">
      <c r="A16" s="7">
        <v>11</v>
      </c>
      <c r="B16" s="55" t="s">
        <v>94</v>
      </c>
      <c r="C16" s="35" t="s">
        <v>94</v>
      </c>
      <c r="D16" s="54" t="s">
        <v>94</v>
      </c>
      <c r="E16" s="35" t="s">
        <v>94</v>
      </c>
      <c r="F16" s="35" t="s">
        <v>94</v>
      </c>
      <c r="G16" s="35" t="s">
        <v>94</v>
      </c>
      <c r="H16" s="52">
        <v>39.433764500000002</v>
      </c>
      <c r="I16" s="34">
        <v>38.412886499999999</v>
      </c>
      <c r="J16" s="53">
        <v>37.281290400000003</v>
      </c>
      <c r="K16" s="34">
        <v>25.352892400000002</v>
      </c>
      <c r="L16" s="34">
        <v>33.316186100000003</v>
      </c>
      <c r="M16" s="34">
        <v>32.619391700000001</v>
      </c>
      <c r="N16" s="34">
        <v>9.2699831199999991</v>
      </c>
      <c r="O16" s="34">
        <v>5.5765758300000003</v>
      </c>
      <c r="P16" s="53">
        <v>6.0242590099999997</v>
      </c>
      <c r="Q16" s="34">
        <v>17.512506800000001</v>
      </c>
      <c r="R16" s="34">
        <v>17.841661800000001</v>
      </c>
      <c r="S16" s="34">
        <v>17.262549799999999</v>
      </c>
      <c r="T16" s="55" t="s">
        <v>94</v>
      </c>
      <c r="U16" s="35" t="s">
        <v>94</v>
      </c>
      <c r="V16" s="54" t="s">
        <v>94</v>
      </c>
      <c r="W16" s="35" t="s">
        <v>94</v>
      </c>
      <c r="X16" s="35" t="s">
        <v>94</v>
      </c>
      <c r="Y16" s="35" t="s">
        <v>94</v>
      </c>
      <c r="Z16" s="55" t="s">
        <v>94</v>
      </c>
      <c r="AA16" s="35" t="s">
        <v>94</v>
      </c>
      <c r="AB16" s="54" t="s">
        <v>94</v>
      </c>
      <c r="AC16" s="35" t="s">
        <v>94</v>
      </c>
      <c r="AD16" s="35" t="s">
        <v>94</v>
      </c>
      <c r="AE16" s="35" t="s">
        <v>94</v>
      </c>
    </row>
  </sheetData>
  <mergeCells count="11">
    <mergeCell ref="T4:V4"/>
    <mergeCell ref="W4:Y4"/>
    <mergeCell ref="Z4:AB4"/>
    <mergeCell ref="AC4:AE4"/>
    <mergeCell ref="A1:P1"/>
    <mergeCell ref="B4:D4"/>
    <mergeCell ref="E4:G4"/>
    <mergeCell ref="H4:J4"/>
    <mergeCell ref="K4:M4"/>
    <mergeCell ref="N4:P4"/>
    <mergeCell ref="Q4:S4"/>
  </mergeCells>
  <phoneticPr fontId="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3F7CE-125E-CF42-92B2-263140B37356}">
  <dimension ref="A1:BM110"/>
  <sheetViews>
    <sheetView topLeftCell="A53" workbookViewId="0">
      <selection activeCell="BH18" sqref="BH18"/>
    </sheetView>
  </sheetViews>
  <sheetFormatPr baseColWidth="10" defaultRowHeight="16" x14ac:dyDescent="0.2"/>
  <sheetData>
    <row r="1" spans="1:65" x14ac:dyDescent="0.2">
      <c r="A1" s="5" t="s">
        <v>142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row>
    <row r="3" spans="1:65" s="15" customFormat="1" ht="15" x14ac:dyDescent="0.2">
      <c r="A3" s="41"/>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row>
    <row r="4" spans="1:65" s="10" customFormat="1" x14ac:dyDescent="0.2">
      <c r="A4" s="5"/>
      <c r="B4" s="56" t="s">
        <v>144</v>
      </c>
      <c r="C4" s="56"/>
      <c r="D4" s="56"/>
      <c r="E4" s="56"/>
      <c r="F4" s="56"/>
      <c r="G4" s="56"/>
      <c r="H4" s="56"/>
      <c r="I4" s="56"/>
      <c r="J4" s="56"/>
      <c r="K4" s="56"/>
      <c r="L4" s="56"/>
      <c r="M4" s="56"/>
      <c r="N4" s="5"/>
      <c r="O4" s="56" t="s">
        <v>147</v>
      </c>
      <c r="P4" s="56"/>
      <c r="Q4" s="56"/>
      <c r="R4" s="56"/>
      <c r="S4" s="56"/>
      <c r="T4" s="56"/>
      <c r="U4" s="56"/>
      <c r="V4" s="56"/>
      <c r="W4" s="56"/>
      <c r="X4" s="56"/>
      <c r="Y4" s="56"/>
      <c r="Z4" s="56"/>
      <c r="AA4" s="5"/>
      <c r="AB4" s="56" t="s">
        <v>145</v>
      </c>
      <c r="AC4" s="56"/>
      <c r="AD4" s="56"/>
      <c r="AE4" s="56"/>
      <c r="AF4" s="56"/>
      <c r="AG4" s="56"/>
      <c r="AH4" s="56"/>
      <c r="AI4" s="56"/>
      <c r="AJ4" s="56"/>
      <c r="AK4" s="5"/>
      <c r="AL4" s="56" t="s">
        <v>146</v>
      </c>
      <c r="AM4" s="56"/>
      <c r="AN4" s="56"/>
      <c r="AO4" s="56"/>
      <c r="AP4" s="56"/>
      <c r="AQ4" s="56"/>
      <c r="AR4" s="56"/>
      <c r="AS4" s="56"/>
      <c r="AT4" s="56"/>
      <c r="AU4" s="5"/>
      <c r="AV4" s="56" t="s">
        <v>149</v>
      </c>
      <c r="AW4" s="56"/>
      <c r="AX4" s="56"/>
      <c r="AY4" s="56"/>
      <c r="AZ4" s="56"/>
      <c r="BA4" s="56"/>
      <c r="BB4" s="56"/>
      <c r="BC4" s="56"/>
      <c r="BD4" s="56"/>
      <c r="BE4" s="5"/>
      <c r="BF4" s="56" t="s">
        <v>150</v>
      </c>
      <c r="BG4" s="56"/>
      <c r="BH4" s="56"/>
      <c r="BI4" s="89"/>
      <c r="BJ4" s="5"/>
      <c r="BK4" s="56" t="s">
        <v>0</v>
      </c>
      <c r="BL4" s="56"/>
      <c r="BM4" s="56"/>
    </row>
    <row r="5" spans="1:65" x14ac:dyDescent="0.2">
      <c r="B5" s="57" t="s">
        <v>95</v>
      </c>
      <c r="C5" s="57"/>
      <c r="D5" s="57"/>
      <c r="E5" s="59" t="s">
        <v>96</v>
      </c>
      <c r="F5" s="57"/>
      <c r="G5" s="69"/>
      <c r="H5" s="57" t="s">
        <v>97</v>
      </c>
      <c r="I5" s="57"/>
      <c r="J5" s="57"/>
      <c r="K5" s="59" t="s">
        <v>98</v>
      </c>
      <c r="L5" s="57"/>
      <c r="M5" s="69"/>
      <c r="O5" s="75" t="s">
        <v>95</v>
      </c>
      <c r="P5" s="75"/>
      <c r="Q5" s="75"/>
      <c r="R5" s="76" t="s">
        <v>96</v>
      </c>
      <c r="S5" s="75"/>
      <c r="T5" s="83"/>
      <c r="U5" s="75" t="s">
        <v>97</v>
      </c>
      <c r="V5" s="75"/>
      <c r="W5" s="75"/>
      <c r="X5" s="76" t="s">
        <v>98</v>
      </c>
      <c r="Y5" s="75"/>
      <c r="Z5" s="83"/>
      <c r="AB5" s="87" t="s">
        <v>1</v>
      </c>
      <c r="AC5" s="87"/>
      <c r="AD5" s="87"/>
      <c r="AE5" s="87" t="s">
        <v>2</v>
      </c>
      <c r="AF5" s="87"/>
      <c r="AG5" s="87"/>
      <c r="AH5" s="87" t="s">
        <v>3</v>
      </c>
      <c r="AI5" s="87"/>
      <c r="AJ5" s="87"/>
      <c r="AL5" s="87" t="s">
        <v>1</v>
      </c>
      <c r="AM5" s="87"/>
      <c r="AN5" s="87"/>
      <c r="AO5" s="87" t="s">
        <v>2</v>
      </c>
      <c r="AP5" s="87"/>
      <c r="AQ5" s="87"/>
      <c r="AR5" s="87" t="s">
        <v>3</v>
      </c>
      <c r="AS5" s="87"/>
      <c r="AT5" s="87"/>
      <c r="AV5" s="87" t="s">
        <v>1</v>
      </c>
      <c r="AW5" s="87"/>
      <c r="AX5" s="87"/>
      <c r="AY5" s="87" t="s">
        <v>2</v>
      </c>
      <c r="AZ5" s="87"/>
      <c r="BA5" s="87"/>
      <c r="BB5" s="87" t="s">
        <v>3</v>
      </c>
      <c r="BC5" s="87"/>
      <c r="BD5" s="87"/>
      <c r="BF5" s="90" t="s">
        <v>1</v>
      </c>
      <c r="BG5" s="90" t="s">
        <v>2</v>
      </c>
      <c r="BH5" s="90" t="s">
        <v>3</v>
      </c>
      <c r="BI5" s="90" t="s">
        <v>4</v>
      </c>
      <c r="BJ5" s="20"/>
      <c r="BK5" s="90" t="s">
        <v>1</v>
      </c>
      <c r="BL5" s="90" t="s">
        <v>2</v>
      </c>
      <c r="BM5" s="90" t="s">
        <v>3</v>
      </c>
    </row>
    <row r="6" spans="1:65" x14ac:dyDescent="0.2">
      <c r="B6" s="58" t="s">
        <v>5</v>
      </c>
      <c r="C6" s="58" t="s">
        <v>6</v>
      </c>
      <c r="D6" s="58" t="s">
        <v>7</v>
      </c>
      <c r="E6" s="60" t="s">
        <v>5</v>
      </c>
      <c r="F6" s="58" t="s">
        <v>6</v>
      </c>
      <c r="G6" s="70" t="s">
        <v>7</v>
      </c>
      <c r="H6" s="58" t="s">
        <v>5</v>
      </c>
      <c r="I6" s="58" t="s">
        <v>6</v>
      </c>
      <c r="J6" s="58" t="s">
        <v>7</v>
      </c>
      <c r="K6" s="60" t="s">
        <v>5</v>
      </c>
      <c r="L6" s="58" t="s">
        <v>6</v>
      </c>
      <c r="M6" s="70" t="s">
        <v>7</v>
      </c>
      <c r="O6" s="58" t="s">
        <v>5</v>
      </c>
      <c r="P6" s="58" t="s">
        <v>6</v>
      </c>
      <c r="Q6" s="58" t="s">
        <v>7</v>
      </c>
      <c r="R6" s="60" t="s">
        <v>5</v>
      </c>
      <c r="S6" s="58" t="s">
        <v>6</v>
      </c>
      <c r="T6" s="70" t="s">
        <v>7</v>
      </c>
      <c r="U6" s="58" t="s">
        <v>5</v>
      </c>
      <c r="V6" s="58" t="s">
        <v>6</v>
      </c>
      <c r="W6" s="58" t="s">
        <v>7</v>
      </c>
      <c r="X6" s="60" t="s">
        <v>5</v>
      </c>
      <c r="Y6" s="58" t="s">
        <v>6</v>
      </c>
      <c r="Z6" s="70" t="s">
        <v>7</v>
      </c>
      <c r="AB6" s="58" t="s">
        <v>5</v>
      </c>
      <c r="AC6" s="58" t="s">
        <v>6</v>
      </c>
      <c r="AD6" s="58" t="s">
        <v>7</v>
      </c>
      <c r="AE6" s="58" t="s">
        <v>5</v>
      </c>
      <c r="AF6" s="58" t="s">
        <v>6</v>
      </c>
      <c r="AG6" s="58" t="s">
        <v>7</v>
      </c>
      <c r="AH6" s="58" t="s">
        <v>5</v>
      </c>
      <c r="AI6" s="58" t="s">
        <v>6</v>
      </c>
      <c r="AJ6" s="58" t="s">
        <v>7</v>
      </c>
      <c r="AL6" s="58" t="s">
        <v>5</v>
      </c>
      <c r="AM6" s="58" t="s">
        <v>6</v>
      </c>
      <c r="AN6" s="58" t="s">
        <v>7</v>
      </c>
      <c r="AO6" s="58" t="s">
        <v>5</v>
      </c>
      <c r="AP6" s="58" t="s">
        <v>6</v>
      </c>
      <c r="AQ6" s="58" t="s">
        <v>7</v>
      </c>
      <c r="AR6" s="58" t="s">
        <v>5</v>
      </c>
      <c r="AS6" s="58" t="s">
        <v>6</v>
      </c>
      <c r="AT6" s="58" t="s">
        <v>7</v>
      </c>
      <c r="AV6" s="58" t="s">
        <v>5</v>
      </c>
      <c r="AW6" s="58" t="s">
        <v>6</v>
      </c>
      <c r="AX6" s="58" t="s">
        <v>7</v>
      </c>
      <c r="AY6" s="58" t="s">
        <v>5</v>
      </c>
      <c r="AZ6" s="58" t="s">
        <v>6</v>
      </c>
      <c r="BA6" s="58" t="s">
        <v>7</v>
      </c>
      <c r="BB6" s="58" t="s">
        <v>5</v>
      </c>
      <c r="BC6" s="58" t="s">
        <v>6</v>
      </c>
      <c r="BD6" s="58" t="s">
        <v>7</v>
      </c>
    </row>
    <row r="7" spans="1:65" x14ac:dyDescent="0.2">
      <c r="A7" s="2" t="s">
        <v>8</v>
      </c>
      <c r="B7" s="9">
        <v>479.4</v>
      </c>
      <c r="C7" s="9">
        <v>522.5</v>
      </c>
      <c r="D7" s="9">
        <v>564.53</v>
      </c>
      <c r="E7" s="61">
        <v>1112.48</v>
      </c>
      <c r="F7" s="62">
        <v>1108.67</v>
      </c>
      <c r="G7" s="71">
        <v>1168.18</v>
      </c>
      <c r="H7" s="9">
        <v>362.71</v>
      </c>
      <c r="I7" s="9">
        <v>391.83</v>
      </c>
      <c r="J7" s="9">
        <v>421.38</v>
      </c>
      <c r="K7" s="61">
        <v>225.71</v>
      </c>
      <c r="L7" s="62">
        <v>280.47000000000003</v>
      </c>
      <c r="M7" s="71">
        <v>299.5</v>
      </c>
      <c r="N7" s="36"/>
      <c r="O7" s="36">
        <v>205.24017467248908</v>
      </c>
      <c r="P7" s="36">
        <v>223.6920969261067</v>
      </c>
      <c r="Q7" s="36">
        <v>241.68593201472729</v>
      </c>
      <c r="R7" s="63">
        <v>853.19426336375489</v>
      </c>
      <c r="S7" s="64">
        <v>850.27226014264897</v>
      </c>
      <c r="T7" s="72">
        <v>895.91226321036891</v>
      </c>
      <c r="U7" s="36">
        <v>135.37996416840849</v>
      </c>
      <c r="V7" s="36">
        <v>146.248880262765</v>
      </c>
      <c r="W7" s="36">
        <v>157.27829202747088</v>
      </c>
      <c r="X7" s="63">
        <v>204.05930747671999</v>
      </c>
      <c r="Y7" s="64">
        <v>253.56658529970167</v>
      </c>
      <c r="Z7" s="72">
        <v>270.77117801283788</v>
      </c>
      <c r="AA7" s="36"/>
      <c r="AB7" s="9">
        <v>5844</v>
      </c>
      <c r="AC7" s="9">
        <v>6894.25</v>
      </c>
      <c r="AD7" s="9">
        <v>6579.01</v>
      </c>
      <c r="AE7" s="9">
        <v>41592</v>
      </c>
      <c r="AF7" s="9">
        <v>14559</v>
      </c>
      <c r="AG7" s="9">
        <v>16931.18</v>
      </c>
      <c r="AH7" s="9">
        <v>12486</v>
      </c>
      <c r="AI7" s="9">
        <f>8785.46+5398.62</f>
        <v>14184.079999999998</v>
      </c>
      <c r="AJ7" s="9">
        <f>7061.59+6318</f>
        <v>13379.59</v>
      </c>
      <c r="AK7" s="36"/>
      <c r="AL7" s="9">
        <v>6.6798114016288039E-3</v>
      </c>
      <c r="AM7" s="9">
        <v>7.8802686098013996E-3</v>
      </c>
      <c r="AN7" s="9">
        <v>7.5199428489784257E-3</v>
      </c>
      <c r="AO7" s="9">
        <v>8.4190923444394966E-2</v>
      </c>
      <c r="AP7" s="9">
        <v>2.9470466782721347E-2</v>
      </c>
      <c r="AQ7" s="36">
        <v>3.4272256183960167E-2</v>
      </c>
      <c r="AR7" s="9">
        <v>9.1088418621886932E-3</v>
      </c>
      <c r="AS7" s="9">
        <v>1.0347632683055694E-2</v>
      </c>
      <c r="AT7" s="36">
        <v>9.7607375853693123E-3</v>
      </c>
      <c r="AU7" s="2"/>
      <c r="AV7" s="3">
        <v>4.7785514200000003</v>
      </c>
      <c r="AW7" s="3">
        <v>5.3469782199999996</v>
      </c>
      <c r="AX7" s="3">
        <v>4.8030875799999997</v>
      </c>
      <c r="AY7" s="3">
        <v>60.227846700000001</v>
      </c>
      <c r="AZ7" s="3">
        <v>19.9965194</v>
      </c>
      <c r="BA7" s="3">
        <v>21.890146099999999</v>
      </c>
      <c r="BB7" s="3">
        <v>6.5162123000000003</v>
      </c>
      <c r="BC7" s="3">
        <v>7.0211523600000003</v>
      </c>
      <c r="BD7" s="3">
        <v>6.2343130000000002</v>
      </c>
      <c r="BF7" s="5">
        <v>4.9762057400000002</v>
      </c>
      <c r="BG7" s="5">
        <v>34.038170733333331</v>
      </c>
      <c r="BH7" s="5">
        <v>6.5905592200000003</v>
      </c>
      <c r="BI7" s="5">
        <v>45.604935693333331</v>
      </c>
      <c r="BJ7" s="5"/>
      <c r="BK7" s="5">
        <v>10.911550831826823</v>
      </c>
      <c r="BL7" s="5">
        <v>74.637032627828333</v>
      </c>
      <c r="BM7" s="5">
        <v>14.451416540344839</v>
      </c>
    </row>
    <row r="8" spans="1:65" x14ac:dyDescent="0.2">
      <c r="A8" s="2" t="s">
        <v>9</v>
      </c>
      <c r="B8" s="36">
        <v>299.95999999999998</v>
      </c>
      <c r="C8" s="36">
        <v>296.55</v>
      </c>
      <c r="D8" s="36">
        <v>569.21</v>
      </c>
      <c r="E8" s="63">
        <v>449.51</v>
      </c>
      <c r="F8" s="64">
        <v>606.78</v>
      </c>
      <c r="G8" s="72">
        <v>768.83</v>
      </c>
      <c r="H8" s="36">
        <v>246.19</v>
      </c>
      <c r="I8" s="36">
        <v>212.59</v>
      </c>
      <c r="J8" s="36">
        <v>424.98</v>
      </c>
      <c r="K8" s="63">
        <v>169.94</v>
      </c>
      <c r="L8" s="64">
        <v>143.37</v>
      </c>
      <c r="M8" s="72">
        <v>296.08</v>
      </c>
      <c r="N8" s="36"/>
      <c r="O8" s="36">
        <v>128.41852898364587</v>
      </c>
      <c r="P8" s="36">
        <v>126.95864371949655</v>
      </c>
      <c r="Q8" s="36">
        <v>243.68952821303196</v>
      </c>
      <c r="R8" s="63">
        <v>344.74269499194719</v>
      </c>
      <c r="S8" s="64">
        <v>465.35777283534009</v>
      </c>
      <c r="T8" s="72">
        <v>589.63877597975306</v>
      </c>
      <c r="U8" s="36">
        <v>91.889369961182453</v>
      </c>
      <c r="V8" s="36">
        <v>79.34831292923262</v>
      </c>
      <c r="W8" s="36">
        <v>158.62197670946554</v>
      </c>
      <c r="X8" s="63">
        <v>153.6389114908236</v>
      </c>
      <c r="Y8" s="64">
        <v>129.61757526444262</v>
      </c>
      <c r="Z8" s="72">
        <v>267.67923334237406</v>
      </c>
      <c r="AA8" s="36"/>
      <c r="AB8" s="9">
        <v>4830.9399999999996</v>
      </c>
      <c r="AC8" s="9">
        <v>3896.47</v>
      </c>
      <c r="AD8" s="9">
        <v>7711.72</v>
      </c>
      <c r="AE8" s="9">
        <v>9732.59</v>
      </c>
      <c r="AF8" s="9">
        <v>24310.03</v>
      </c>
      <c r="AG8" s="9">
        <v>26563.200000000001</v>
      </c>
      <c r="AH8" s="9">
        <v>8051.5</v>
      </c>
      <c r="AI8" s="9">
        <f>1573.46+6495.91</f>
        <v>8069.37</v>
      </c>
      <c r="AJ8" s="9">
        <f>7252.29+7386.38</f>
        <v>14638.67</v>
      </c>
      <c r="AK8" s="36"/>
      <c r="AL8" s="36">
        <v>5.5218631233033286E-3</v>
      </c>
      <c r="AM8" s="36">
        <v>4.4537448206886697E-3</v>
      </c>
      <c r="AN8" s="36">
        <v>8.8146535219317049E-3</v>
      </c>
      <c r="AO8" s="36">
        <v>1.9700801586980284E-2</v>
      </c>
      <c r="AP8" s="36">
        <v>4.9208594793733046E-2</v>
      </c>
      <c r="AQ8" s="36">
        <v>5.3769483016881912E-2</v>
      </c>
      <c r="AR8" s="36">
        <v>5.8737658380115547E-3</v>
      </c>
      <c r="AS8" s="36">
        <v>5.8868024393312172E-3</v>
      </c>
      <c r="AT8" s="36">
        <v>1.0679267187471229E-2</v>
      </c>
      <c r="AU8" s="2"/>
      <c r="AV8" s="3">
        <v>7.6832388399999996</v>
      </c>
      <c r="AW8" s="3">
        <v>5.5582717800000001</v>
      </c>
      <c r="AX8" s="3">
        <v>6.9978143700000004</v>
      </c>
      <c r="AY8" s="3">
        <v>27.412118100000001</v>
      </c>
      <c r="AZ8" s="3">
        <v>61.412306899999997</v>
      </c>
      <c r="BA8" s="3">
        <v>42.686744300000001</v>
      </c>
      <c r="BB8" s="3">
        <v>8.17288383</v>
      </c>
      <c r="BC8" s="3">
        <v>7.3467271199999997</v>
      </c>
      <c r="BD8" s="3">
        <v>8.4781017500000004</v>
      </c>
      <c r="BF8" s="5">
        <v>6.7464416633333331</v>
      </c>
      <c r="BG8" s="5">
        <v>43.837056433333338</v>
      </c>
      <c r="BH8" s="5">
        <v>7.9992375666666673</v>
      </c>
      <c r="BI8" s="5">
        <v>58.582735663333338</v>
      </c>
      <c r="BJ8" s="5"/>
      <c r="BK8" s="5">
        <v>11.516091877484479</v>
      </c>
      <c r="BL8" s="5">
        <v>74.8293092443799</v>
      </c>
      <c r="BM8" s="5">
        <v>13.654598878135616</v>
      </c>
    </row>
    <row r="9" spans="1:65" x14ac:dyDescent="0.2">
      <c r="A9" s="2" t="s">
        <v>10</v>
      </c>
      <c r="B9" s="36">
        <v>322.45</v>
      </c>
      <c r="C9" s="36">
        <v>397.31</v>
      </c>
      <c r="D9" s="36">
        <v>401.13</v>
      </c>
      <c r="E9" s="63">
        <v>362.15</v>
      </c>
      <c r="F9" s="64">
        <v>408.68</v>
      </c>
      <c r="G9" s="72">
        <v>376.86</v>
      </c>
      <c r="H9" s="36">
        <v>241.26</v>
      </c>
      <c r="I9" s="36">
        <v>298.64</v>
      </c>
      <c r="J9" s="36">
        <v>308.95999999999998</v>
      </c>
      <c r="K9" s="63">
        <v>180.44</v>
      </c>
      <c r="L9" s="64">
        <v>214.64</v>
      </c>
      <c r="M9" s="72">
        <v>224.77</v>
      </c>
      <c r="N9" s="36"/>
      <c r="O9" s="36">
        <v>138.04692182549877</v>
      </c>
      <c r="P9" s="36">
        <v>170.09589862145734</v>
      </c>
      <c r="Q9" s="36">
        <v>171.7313126123812</v>
      </c>
      <c r="R9" s="63">
        <v>277.7436920009203</v>
      </c>
      <c r="S9" s="64">
        <v>313.42894393741852</v>
      </c>
      <c r="T9" s="72">
        <v>289.02523199631872</v>
      </c>
      <c r="U9" s="36">
        <v>90.049268438339809</v>
      </c>
      <c r="V9" s="36">
        <v>111.46610928635414</v>
      </c>
      <c r="W9" s="36">
        <v>115.31800537473873</v>
      </c>
      <c r="X9" s="63">
        <v>163.13172407558085</v>
      </c>
      <c r="Y9" s="64">
        <v>194.05117078021877</v>
      </c>
      <c r="Z9" s="72">
        <v>203.20947473103698</v>
      </c>
      <c r="AA9" s="36"/>
      <c r="AB9" s="9">
        <v>2840</v>
      </c>
      <c r="AC9" s="9">
        <v>4359.6000000000004</v>
      </c>
      <c r="AD9" s="9">
        <v>3662.78</v>
      </c>
      <c r="AE9" s="9">
        <v>7122</v>
      </c>
      <c r="AF9" s="9">
        <v>9189.06</v>
      </c>
      <c r="AG9" s="9">
        <v>7543.58</v>
      </c>
      <c r="AH9" s="9">
        <v>2220</v>
      </c>
      <c r="AI9" s="9">
        <f>1045.69+996.88+695.15</f>
        <v>2737.7200000000003</v>
      </c>
      <c r="AJ9" s="9">
        <v>3408.47</v>
      </c>
      <c r="AK9" s="36"/>
      <c r="AL9" s="36">
        <v>3.2461780254322047E-3</v>
      </c>
      <c r="AM9" s="36">
        <v>4.9831118731247324E-3</v>
      </c>
      <c r="AN9" s="36">
        <v>4.186632376053722E-3</v>
      </c>
      <c r="AO9" s="36">
        <v>1.4416420387838549E-2</v>
      </c>
      <c r="AP9" s="36">
        <v>1.8600582972349296E-2</v>
      </c>
      <c r="AQ9" s="36">
        <v>1.5269786648313834E-2</v>
      </c>
      <c r="AR9" s="36">
        <v>1.6195442042334534E-3</v>
      </c>
      <c r="AS9" s="36">
        <v>1.9972335850513561E-3</v>
      </c>
      <c r="AT9" s="36">
        <v>2.4865620872989184E-3</v>
      </c>
      <c r="AU9" s="2"/>
      <c r="AV9" s="3">
        <v>4.8524899899999996</v>
      </c>
      <c r="AW9" s="3">
        <v>6.3153939799999996</v>
      </c>
      <c r="AX9" s="3">
        <v>5.3724088300000004</v>
      </c>
      <c r="AY9" s="3">
        <v>21.550122999999999</v>
      </c>
      <c r="AZ9" s="3">
        <v>23.573624800000001</v>
      </c>
      <c r="BA9" s="3">
        <v>19.594635799999999</v>
      </c>
      <c r="BB9" s="3">
        <v>2.4209461000000001</v>
      </c>
      <c r="BC9" s="3">
        <v>2.53121288</v>
      </c>
      <c r="BD9" s="3">
        <v>3.1908290300000002</v>
      </c>
      <c r="BF9" s="5">
        <v>5.5134309333333329</v>
      </c>
      <c r="BG9" s="5">
        <v>21.572794533333337</v>
      </c>
      <c r="BH9" s="5">
        <v>2.7143293366666668</v>
      </c>
      <c r="BI9" s="5">
        <v>29.800554803333334</v>
      </c>
      <c r="BJ9" s="5"/>
      <c r="BK9" s="5">
        <v>18.501101639613196</v>
      </c>
      <c r="BL9" s="5">
        <v>72.390580228124861</v>
      </c>
      <c r="BM9" s="5">
        <v>9.1083181322619406</v>
      </c>
    </row>
    <row r="10" spans="1:65" x14ac:dyDescent="0.2">
      <c r="A10" s="2" t="s">
        <v>11</v>
      </c>
      <c r="B10" s="9">
        <v>28.26</v>
      </c>
      <c r="C10" s="9">
        <v>50.26</v>
      </c>
      <c r="D10" s="9">
        <v>77.72</v>
      </c>
      <c r="E10" s="61">
        <v>61.43</v>
      </c>
      <c r="F10" s="62">
        <v>63.54</v>
      </c>
      <c r="G10" s="71">
        <v>71.91</v>
      </c>
      <c r="H10" s="9">
        <v>19.11</v>
      </c>
      <c r="I10" s="9">
        <v>36.020000000000003</v>
      </c>
      <c r="J10" s="9">
        <v>57.04</v>
      </c>
      <c r="K10" s="61">
        <v>16.149999999999999</v>
      </c>
      <c r="L10" s="62">
        <v>28.87</v>
      </c>
      <c r="M10" s="71">
        <v>44.2</v>
      </c>
      <c r="N10" s="36"/>
      <c r="O10" s="36">
        <v>12.098638582070384</v>
      </c>
      <c r="P10" s="36">
        <v>21.517253189485402</v>
      </c>
      <c r="Q10" s="36">
        <v>33.273396694922511</v>
      </c>
      <c r="R10" s="63">
        <v>47.112508627962264</v>
      </c>
      <c r="S10" s="64">
        <v>48.730730884270265</v>
      </c>
      <c r="T10" s="72">
        <v>55.149934810951756</v>
      </c>
      <c r="U10" s="36">
        <v>7.1327261869214693</v>
      </c>
      <c r="V10" s="36">
        <v>13.444311734846226</v>
      </c>
      <c r="W10" s="36">
        <v>21.289937294714843</v>
      </c>
      <c r="X10" s="63">
        <v>14.600849832745681</v>
      </c>
      <c r="Y10" s="64">
        <v>26.100714221137327</v>
      </c>
      <c r="Z10" s="72">
        <v>39.960220594882919</v>
      </c>
      <c r="AA10" s="36"/>
      <c r="AB10" s="9">
        <v>351.23</v>
      </c>
      <c r="AC10" s="9">
        <v>389.31</v>
      </c>
      <c r="AD10" s="9">
        <v>422.57</v>
      </c>
      <c r="AE10" s="9">
        <v>535.63</v>
      </c>
      <c r="AF10" s="9">
        <v>380.56</v>
      </c>
      <c r="AG10" s="9">
        <v>665.07</v>
      </c>
      <c r="AH10" s="9">
        <v>1945.09</v>
      </c>
      <c r="AI10" s="9">
        <v>2457.13</v>
      </c>
      <c r="AJ10" s="9">
        <v>4371.18</v>
      </c>
      <c r="AK10" s="36"/>
      <c r="AL10" s="36">
        <v>4.014630661523075E-4</v>
      </c>
      <c r="AM10" s="36">
        <v>4.4498928418345478E-4</v>
      </c>
      <c r="AN10" s="36">
        <v>4.8300614373481926E-4</v>
      </c>
      <c r="AO10" s="36">
        <v>1.0842273592162261E-3</v>
      </c>
      <c r="AP10" s="36">
        <v>7.7033318489129997E-4</v>
      </c>
      <c r="AQ10" s="36">
        <v>1.3462410428727583E-3</v>
      </c>
      <c r="AR10" s="36">
        <v>1.4189906469425442E-3</v>
      </c>
      <c r="AS10" s="36">
        <v>1.7925363290757412E-3</v>
      </c>
      <c r="AT10" s="36">
        <v>3.1888825381356702E-3</v>
      </c>
      <c r="AU10" s="2"/>
      <c r="AV10" s="3">
        <v>4.95971881</v>
      </c>
      <c r="AW10" s="3">
        <v>4.0529837400000002</v>
      </c>
      <c r="AX10" s="3">
        <v>3.2270654300000001</v>
      </c>
      <c r="AY10" s="3">
        <v>13.394663899999999</v>
      </c>
      <c r="AZ10" s="3">
        <v>7.0162315900000003</v>
      </c>
      <c r="BA10" s="3">
        <v>8.9945189899999995</v>
      </c>
      <c r="BB10" s="3">
        <v>17.530366300000001</v>
      </c>
      <c r="BC10" s="3">
        <v>16.326506800000001</v>
      </c>
      <c r="BD10" s="3">
        <v>21.305593600000002</v>
      </c>
      <c r="BF10" s="5">
        <v>4.0799226600000003</v>
      </c>
      <c r="BG10" s="5">
        <v>9.8018048266666664</v>
      </c>
      <c r="BH10" s="5">
        <v>18.387488900000001</v>
      </c>
      <c r="BI10" s="5">
        <v>32.26921638666667</v>
      </c>
      <c r="BJ10" s="5"/>
      <c r="BK10" s="5">
        <v>12.643389325331697</v>
      </c>
      <c r="BL10" s="5">
        <v>30.375094050057804</v>
      </c>
      <c r="BM10" s="5">
        <v>56.981516624610485</v>
      </c>
    </row>
    <row r="11" spans="1:65" x14ac:dyDescent="0.2">
      <c r="A11" s="2" t="s">
        <v>12</v>
      </c>
      <c r="B11" s="9">
        <v>207.38</v>
      </c>
      <c r="C11" s="9">
        <v>179.01</v>
      </c>
      <c r="D11" s="9">
        <v>141.21</v>
      </c>
      <c r="E11" s="61">
        <v>728.78</v>
      </c>
      <c r="F11" s="62">
        <v>673.97</v>
      </c>
      <c r="G11" s="71">
        <v>569.79</v>
      </c>
      <c r="H11" s="9">
        <v>156.37</v>
      </c>
      <c r="I11" s="9">
        <v>132.03</v>
      </c>
      <c r="J11" s="9">
        <v>104.21</v>
      </c>
      <c r="K11" s="61">
        <v>113.42</v>
      </c>
      <c r="L11" s="62">
        <v>102.49</v>
      </c>
      <c r="M11" s="71">
        <v>78.95</v>
      </c>
      <c r="N11" s="36"/>
      <c r="O11" s="9">
        <v>88.783286240260296</v>
      </c>
      <c r="P11" s="9">
        <v>76.637554585152841</v>
      </c>
      <c r="Q11" s="9">
        <v>60.45466221423068</v>
      </c>
      <c r="R11" s="61">
        <v>558.92323030907278</v>
      </c>
      <c r="S11" s="62">
        <v>516.88779814402949</v>
      </c>
      <c r="T11" s="71">
        <v>436.98903290129607</v>
      </c>
      <c r="U11" s="9">
        <v>58.364437145416545</v>
      </c>
      <c r="V11" s="9">
        <v>49.279635712152889</v>
      </c>
      <c r="W11" s="9">
        <v>38.895939086294419</v>
      </c>
      <c r="X11" s="63">
        <v>102.54045746315884</v>
      </c>
      <c r="Y11" s="64">
        <v>92.658891601121042</v>
      </c>
      <c r="Z11" s="72">
        <v>71.376909863484315</v>
      </c>
      <c r="AA11" s="36"/>
      <c r="AB11" s="9">
        <v>4908.58</v>
      </c>
      <c r="AC11" s="9">
        <v>3530.83</v>
      </c>
      <c r="AD11" s="9">
        <v>2428.4899999999998</v>
      </c>
      <c r="AE11" s="9">
        <v>5010.49</v>
      </c>
      <c r="AF11" s="9">
        <v>4924.16</v>
      </c>
      <c r="AG11" s="9">
        <v>4036.23</v>
      </c>
      <c r="AH11" s="9">
        <f>962.42+756.03</f>
        <v>1718.4499999999998</v>
      </c>
      <c r="AI11" s="9">
        <v>1432.4</v>
      </c>
      <c r="AJ11" s="9">
        <f>188.25+451.34+473.94</f>
        <v>1113.53</v>
      </c>
      <c r="AK11" s="36"/>
      <c r="AL11" s="36">
        <v>5.610607229604229E-3</v>
      </c>
      <c r="AM11" s="36">
        <v>4.0358108301185884E-3</v>
      </c>
      <c r="AN11" s="36">
        <v>2.7758136876696667E-3</v>
      </c>
      <c r="AO11" s="36">
        <v>1.0142281689000445E-2</v>
      </c>
      <c r="AP11" s="36">
        <v>9.9675316788793971E-3</v>
      </c>
      <c r="AQ11" s="36">
        <v>8.1701752965466987E-3</v>
      </c>
      <c r="AR11" s="36">
        <v>1.2536512332274674E-3</v>
      </c>
      <c r="AS11" s="36">
        <v>1.0449707739387383E-3</v>
      </c>
      <c r="AT11" s="36">
        <v>8.1234732330634116E-4</v>
      </c>
      <c r="AU11" s="2"/>
      <c r="AV11" s="3">
        <v>6.9385704300000004</v>
      </c>
      <c r="AW11" s="3">
        <v>5.48743581</v>
      </c>
      <c r="AX11" s="3">
        <v>4.56761251</v>
      </c>
      <c r="AY11" s="3">
        <v>12.5428377</v>
      </c>
      <c r="AZ11" s="3">
        <v>13.552714099999999</v>
      </c>
      <c r="BA11" s="3">
        <v>13.444056099999999</v>
      </c>
      <c r="BB11" s="3">
        <v>1.5503753899999999</v>
      </c>
      <c r="BC11" s="3">
        <v>1.4208322200000001</v>
      </c>
      <c r="BD11" s="3">
        <v>1.33672076</v>
      </c>
      <c r="BF11" s="5">
        <v>5.6645395833333332</v>
      </c>
      <c r="BG11" s="5">
        <v>13.1798693</v>
      </c>
      <c r="BH11" s="5">
        <v>1.4359761233333332</v>
      </c>
      <c r="BI11" s="5">
        <v>20.280385006666666</v>
      </c>
      <c r="BJ11" s="5"/>
      <c r="BK11" s="5">
        <v>27.93112449034502</v>
      </c>
      <c r="BL11" s="5">
        <v>64.988259816899188</v>
      </c>
      <c r="BM11" s="5">
        <v>7.0806156927557939</v>
      </c>
    </row>
    <row r="12" spans="1:65" x14ac:dyDescent="0.2">
      <c r="A12" s="2" t="s">
        <v>13</v>
      </c>
      <c r="B12" s="9">
        <v>92.74</v>
      </c>
      <c r="C12" s="9">
        <v>79.81</v>
      </c>
      <c r="D12" s="9">
        <v>78.260000000000005</v>
      </c>
      <c r="E12" s="61">
        <v>291.51</v>
      </c>
      <c r="F12" s="62">
        <v>267.64999999999998</v>
      </c>
      <c r="G12" s="71">
        <v>307.62</v>
      </c>
      <c r="H12" s="9">
        <v>62</v>
      </c>
      <c r="I12" s="9">
        <v>53.61</v>
      </c>
      <c r="J12" s="9">
        <v>55.46</v>
      </c>
      <c r="K12" s="61">
        <v>48.43</v>
      </c>
      <c r="L12" s="62">
        <v>40.26</v>
      </c>
      <c r="M12" s="71">
        <v>43.65</v>
      </c>
      <c r="N12" s="36"/>
      <c r="O12" s="37">
        <v>39.703741758712219</v>
      </c>
      <c r="P12" s="37">
        <v>34.168165082626942</v>
      </c>
      <c r="Q12" s="37">
        <v>33.504580871649971</v>
      </c>
      <c r="R12" s="77">
        <v>223.5677582636705</v>
      </c>
      <c r="S12" s="78">
        <v>205.26880895774212</v>
      </c>
      <c r="T12" s="84">
        <v>235.923000230079</v>
      </c>
      <c r="U12" s="37">
        <v>23.141236189907438</v>
      </c>
      <c r="V12" s="37">
        <v>20.009704389369961</v>
      </c>
      <c r="W12" s="37">
        <v>20.700209017617201</v>
      </c>
      <c r="X12" s="63">
        <v>43.784467950456559</v>
      </c>
      <c r="Y12" s="64">
        <v>36.398155682126387</v>
      </c>
      <c r="Z12" s="72">
        <v>39.462978030919444</v>
      </c>
      <c r="AA12" s="36"/>
      <c r="AB12" s="9">
        <f>405.53+546.46</f>
        <v>951.99</v>
      </c>
      <c r="AC12" s="9">
        <f>333.39+569.7</f>
        <v>903.09</v>
      </c>
      <c r="AD12" s="9">
        <f>703.67+195.67</f>
        <v>899.33999999999992</v>
      </c>
      <c r="AE12" s="9">
        <v>2437.35</v>
      </c>
      <c r="AF12" s="9">
        <v>2753.26</v>
      </c>
      <c r="AG12" s="9">
        <v>3236.36</v>
      </c>
      <c r="AH12" s="9">
        <v>1977.11</v>
      </c>
      <c r="AI12" s="9">
        <v>2183.0100000000002</v>
      </c>
      <c r="AJ12" s="9">
        <v>1972.82</v>
      </c>
      <c r="AK12" s="36"/>
      <c r="AL12" s="36">
        <v>1.0881440205743678E-3</v>
      </c>
      <c r="AM12" s="36">
        <v>1.0322503214744963E-3</v>
      </c>
      <c r="AN12" s="36">
        <v>1.027963994856408E-3</v>
      </c>
      <c r="AO12" s="36">
        <v>4.9337071373628597E-3</v>
      </c>
      <c r="AP12" s="36">
        <v>5.5731751750941264E-3</v>
      </c>
      <c r="AQ12" s="36">
        <v>6.5510708068499254E-3</v>
      </c>
      <c r="AR12" s="36">
        <v>1.4423500187531546E-3</v>
      </c>
      <c r="AS12" s="36">
        <v>1.5925590960737259E-3</v>
      </c>
      <c r="AT12" s="36">
        <v>1.4392203590071358E-3</v>
      </c>
      <c r="AU12" s="2"/>
      <c r="AV12" s="3">
        <v>3.29543681</v>
      </c>
      <c r="AW12" s="3">
        <v>3.4891612200000002</v>
      </c>
      <c r="AX12" s="3">
        <v>3.11891016</v>
      </c>
      <c r="AY12" s="3">
        <v>14.9416987</v>
      </c>
      <c r="AZ12" s="3">
        <v>18.838169700000002</v>
      </c>
      <c r="BA12" s="3">
        <v>19.876378299999999</v>
      </c>
      <c r="BB12" s="3">
        <v>4.3681472799999996</v>
      </c>
      <c r="BC12" s="3">
        <v>5.3830890800000004</v>
      </c>
      <c r="BD12" s="3">
        <v>4.3666889299999996</v>
      </c>
      <c r="BF12" s="5">
        <v>3.3011693966666669</v>
      </c>
      <c r="BG12" s="5">
        <v>17.885415566666666</v>
      </c>
      <c r="BH12" s="5">
        <v>4.7059750966666662</v>
      </c>
      <c r="BI12" s="5">
        <v>25.892560059999997</v>
      </c>
      <c r="BJ12" s="5"/>
      <c r="BK12" s="5">
        <v>12.749490158628477</v>
      </c>
      <c r="BL12" s="5">
        <v>69.075500936258777</v>
      </c>
      <c r="BM12" s="5">
        <v>18.175008905112751</v>
      </c>
    </row>
    <row r="13" spans="1:65" x14ac:dyDescent="0.2">
      <c r="A13" s="2" t="s">
        <v>14</v>
      </c>
      <c r="B13">
        <v>64.989999999999995</v>
      </c>
      <c r="C13">
        <v>91.82</v>
      </c>
      <c r="D13">
        <v>60.71</v>
      </c>
      <c r="E13" s="65">
        <v>178.62</v>
      </c>
      <c r="F13" s="66">
        <v>204.89</v>
      </c>
      <c r="G13" s="73">
        <v>160.97999999999999</v>
      </c>
      <c r="H13">
        <v>47.76</v>
      </c>
      <c r="I13">
        <v>67.599999999999994</v>
      </c>
      <c r="J13">
        <v>45.25</v>
      </c>
      <c r="K13" s="65">
        <v>35.03</v>
      </c>
      <c r="L13" s="66">
        <v>56.71</v>
      </c>
      <c r="M13" s="73">
        <v>37.71</v>
      </c>
      <c r="N13" s="36"/>
      <c r="O13" s="37">
        <v>27.823443787995547</v>
      </c>
      <c r="P13" s="37">
        <v>39.30987242058395</v>
      </c>
      <c r="Q13" s="37">
        <v>25.991095128007537</v>
      </c>
      <c r="R13" s="77">
        <v>136.9890329012961</v>
      </c>
      <c r="S13" s="78">
        <v>157.13628345732033</v>
      </c>
      <c r="T13" s="84">
        <v>123.46038806656951</v>
      </c>
      <c r="U13" s="36">
        <v>17.826216781128696</v>
      </c>
      <c r="V13" s="36">
        <v>25.231412361899075</v>
      </c>
      <c r="W13" s="36">
        <v>16.889369961182442</v>
      </c>
      <c r="X13" s="63">
        <v>31.66983093752825</v>
      </c>
      <c r="Y13" s="64">
        <v>51.270228731579422</v>
      </c>
      <c r="Z13" s="72">
        <v>34.09275834011391</v>
      </c>
      <c r="AA13" s="36"/>
      <c r="AB13">
        <v>747.56</v>
      </c>
      <c r="AC13">
        <v>839.58</v>
      </c>
      <c r="AD13">
        <v>301.49</v>
      </c>
      <c r="AE13">
        <v>2139.04</v>
      </c>
      <c r="AF13">
        <v>2520.87</v>
      </c>
      <c r="AG13">
        <v>2275.7399999999998</v>
      </c>
      <c r="AH13">
        <v>2986.99</v>
      </c>
      <c r="AI13">
        <v>2758.88</v>
      </c>
      <c r="AJ13">
        <v>3343.62</v>
      </c>
      <c r="AK13" s="36"/>
      <c r="AL13" s="36">
        <v>8.5447635376482349E-4</v>
      </c>
      <c r="AM13" s="36">
        <v>9.5965709387055298E-4</v>
      </c>
      <c r="AN13" s="36">
        <v>3.4460922988998428E-4</v>
      </c>
      <c r="AO13" s="36">
        <v>4.3298651876442253E-3</v>
      </c>
      <c r="AP13" s="36">
        <v>5.1027691186591633E-3</v>
      </c>
      <c r="AQ13" s="36">
        <v>4.6065746326059672E-3</v>
      </c>
      <c r="AR13" s="36">
        <v>2.1790821363077851E-3</v>
      </c>
      <c r="AS13" s="36">
        <v>2.0126703217007162E-3</v>
      </c>
      <c r="AT13" s="36">
        <v>2.4392524289004775E-3</v>
      </c>
      <c r="AU13" s="2"/>
      <c r="AV13" s="3">
        <v>3.9871319000000001</v>
      </c>
      <c r="AW13" s="3">
        <v>3.5158997599999999</v>
      </c>
      <c r="AX13" s="3">
        <v>1.71931857</v>
      </c>
      <c r="AY13" s="3">
        <v>20.203886900000001</v>
      </c>
      <c r="AZ13" s="3">
        <v>18.6950368</v>
      </c>
      <c r="BA13" s="3">
        <v>22.983044599999999</v>
      </c>
      <c r="BB13" s="3">
        <v>10.167967600000001</v>
      </c>
      <c r="BC13" s="3">
        <v>7.3738287800000002</v>
      </c>
      <c r="BD13" s="3">
        <v>12.1698772</v>
      </c>
      <c r="BF13" s="5">
        <v>3.0741167433333332</v>
      </c>
      <c r="BG13" s="5">
        <v>20.627322766666666</v>
      </c>
      <c r="BH13" s="5">
        <v>9.9038911933333349</v>
      </c>
      <c r="BI13" s="5">
        <v>33.605330703333337</v>
      </c>
      <c r="BJ13" s="5"/>
      <c r="BK13" s="5">
        <v>9.1477056734585549</v>
      </c>
      <c r="BL13" s="5">
        <v>61.381103339716958</v>
      </c>
      <c r="BM13" s="5">
        <v>29.471190986824482</v>
      </c>
    </row>
    <row r="14" spans="1:65" x14ac:dyDescent="0.2">
      <c r="A14" s="2" t="s">
        <v>15</v>
      </c>
      <c r="B14">
        <v>2972.95</v>
      </c>
      <c r="C14">
        <v>3657.42</v>
      </c>
      <c r="D14">
        <v>2020.74</v>
      </c>
      <c r="E14" s="65">
        <v>1739.01</v>
      </c>
      <c r="F14" s="66">
        <v>1952.62</v>
      </c>
      <c r="G14" s="73">
        <v>1231.47</v>
      </c>
      <c r="H14">
        <v>2788.51</v>
      </c>
      <c r="I14">
        <v>3118.88</v>
      </c>
      <c r="J14">
        <v>1976.58</v>
      </c>
      <c r="K14" s="65">
        <v>2788.51</v>
      </c>
      <c r="L14" s="66">
        <v>3118.88</v>
      </c>
      <c r="M14" s="73">
        <v>1976.58</v>
      </c>
      <c r="N14" s="36"/>
      <c r="O14" s="37">
        <v>1272.7759225961127</v>
      </c>
      <c r="P14" s="37">
        <v>1565.8104289750836</v>
      </c>
      <c r="Q14" s="37">
        <v>865.11687644490121</v>
      </c>
      <c r="R14" s="63">
        <v>1333.6989032901295</v>
      </c>
      <c r="S14" s="64">
        <v>1497.5228161668838</v>
      </c>
      <c r="T14" s="72">
        <v>944.45126159981589</v>
      </c>
      <c r="U14" s="36">
        <v>1040.7994923857871</v>
      </c>
      <c r="V14" s="36">
        <v>1164.1086891609436</v>
      </c>
      <c r="W14" s="36">
        <v>737.75007464914904</v>
      </c>
      <c r="X14" s="63">
        <v>2032.6371937437846</v>
      </c>
      <c r="Y14" s="64">
        <v>2295.4434499593162</v>
      </c>
      <c r="Z14" s="72">
        <v>1455.5103516861043</v>
      </c>
      <c r="AA14" s="36"/>
      <c r="AB14">
        <v>11877.19</v>
      </c>
      <c r="AC14">
        <f>14761.59+5235.78</f>
        <v>19997.37</v>
      </c>
      <c r="AD14">
        <v>2942</v>
      </c>
      <c r="AE14">
        <f>1792.2+1823.33</f>
        <v>3615.5299999999997</v>
      </c>
      <c r="AF14">
        <v>33647.56</v>
      </c>
      <c r="AG14">
        <v>5087.67</v>
      </c>
      <c r="AH14">
        <v>6959.9089999999997</v>
      </c>
      <c r="AI14">
        <v>13378.57</v>
      </c>
      <c r="AJ14">
        <f>1610.63+228.03+863.97+398.69</f>
        <v>3101.32</v>
      </c>
      <c r="AK14" s="36"/>
      <c r="AL14" s="36">
        <v>2.8909737925259898E-2</v>
      </c>
      <c r="AM14" s="36">
        <v>8.8004001587004086E-3</v>
      </c>
      <c r="AN14" s="36">
        <v>1.6940803773759422E-2</v>
      </c>
      <c r="AO14" s="36">
        <v>9.6529640910780395E-2</v>
      </c>
      <c r="AP14" s="36">
        <v>0.16242070253858071</v>
      </c>
      <c r="AQ14" s="36">
        <v>6.4579920159487936E-2</v>
      </c>
      <c r="AR14" s="36">
        <v>4.6120245638748393E-3</v>
      </c>
      <c r="AS14" s="9">
        <v>7.9756828731778057E-3</v>
      </c>
      <c r="AT14" s="9">
        <v>4.8617824678573477E-3</v>
      </c>
      <c r="AU14" s="2"/>
      <c r="AV14" s="3">
        <v>5.0898218899999996</v>
      </c>
      <c r="AW14" s="3">
        <v>1.3491575600000001</v>
      </c>
      <c r="AX14" s="3">
        <v>4.2322081799999998</v>
      </c>
      <c r="AY14" s="3">
        <v>16.994919899999999</v>
      </c>
      <c r="AZ14" s="3">
        <v>24.900131300000002</v>
      </c>
      <c r="BA14" s="3">
        <v>16.1335713</v>
      </c>
      <c r="BB14" s="3">
        <v>0.81198881000000001</v>
      </c>
      <c r="BC14" s="3">
        <v>1.22272314</v>
      </c>
      <c r="BD14" s="3">
        <v>1.2145867299999999</v>
      </c>
      <c r="BF14" s="5">
        <v>3.5570625433333327</v>
      </c>
      <c r="BG14" s="5">
        <v>19.342874166666665</v>
      </c>
      <c r="BH14" s="5">
        <v>1.08309956</v>
      </c>
      <c r="BI14" s="5">
        <v>23.983036269999999</v>
      </c>
      <c r="BJ14" s="5"/>
      <c r="BK14" s="5">
        <v>14.831577216863096</v>
      </c>
      <c r="BL14" s="5">
        <v>80.652315865703628</v>
      </c>
      <c r="BM14" s="5">
        <v>4.5161069174332695</v>
      </c>
    </row>
    <row r="15" spans="1:65" x14ac:dyDescent="0.2">
      <c r="A15" s="2" t="s">
        <v>16</v>
      </c>
      <c r="B15">
        <v>138.82</v>
      </c>
      <c r="C15">
        <v>88.28</v>
      </c>
      <c r="D15">
        <v>71.59</v>
      </c>
      <c r="E15" s="65">
        <v>278.95</v>
      </c>
      <c r="F15" s="66">
        <v>183.53</v>
      </c>
      <c r="G15" s="73">
        <v>134.83000000000001</v>
      </c>
      <c r="H15">
        <v>102.22</v>
      </c>
      <c r="I15">
        <v>65.03</v>
      </c>
      <c r="J15">
        <v>54.35</v>
      </c>
      <c r="K15" s="65">
        <v>73.31</v>
      </c>
      <c r="L15" s="66">
        <v>47.14</v>
      </c>
      <c r="M15" s="73">
        <v>39.01</v>
      </c>
      <c r="N15" s="36"/>
      <c r="O15" s="36">
        <v>59.431458172788766</v>
      </c>
      <c r="P15" s="36">
        <v>37.794331706481721</v>
      </c>
      <c r="Q15" s="36">
        <v>30.649028170220056</v>
      </c>
      <c r="R15" s="63">
        <v>213.9351177237518</v>
      </c>
      <c r="S15" s="64">
        <v>140.75465909962421</v>
      </c>
      <c r="T15" s="72">
        <v>103.40516910806043</v>
      </c>
      <c r="U15" s="36">
        <v>38.153180053747391</v>
      </c>
      <c r="V15" s="36">
        <v>24.272170797252915</v>
      </c>
      <c r="W15" s="36">
        <v>20.285906240668858</v>
      </c>
      <c r="X15" s="63">
        <v>66.277913389386129</v>
      </c>
      <c r="Y15" s="64">
        <v>42.618208118614952</v>
      </c>
      <c r="Z15" s="72">
        <v>35.268058945845759</v>
      </c>
      <c r="AA15" s="36"/>
      <c r="AB15">
        <v>2565.96</v>
      </c>
      <c r="AC15">
        <v>1899.73</v>
      </c>
      <c r="AD15">
        <v>1497.44</v>
      </c>
      <c r="AE15">
        <v>6493.21</v>
      </c>
      <c r="AF15">
        <v>4295.3100000000004</v>
      </c>
      <c r="AG15">
        <v>3126.83</v>
      </c>
      <c r="AH15">
        <v>3206.68</v>
      </c>
      <c r="AI15">
        <f>1113.77+864.73</f>
        <v>1978.5</v>
      </c>
      <c r="AJ15">
        <v>1468.52</v>
      </c>
      <c r="AK15" s="36"/>
      <c r="AL15" s="36">
        <v>2.9329447063866265E-3</v>
      </c>
      <c r="AM15" s="36">
        <v>2.171430204314902E-3</v>
      </c>
      <c r="AN15" s="36">
        <v>1.7116045149307044E-3</v>
      </c>
      <c r="AO15" s="36">
        <v>1.3143617667300919E-2</v>
      </c>
      <c r="AP15" s="9">
        <v>8.6946075057689979E-3</v>
      </c>
      <c r="AQ15" s="9">
        <v>6.3293591352576815E-3</v>
      </c>
      <c r="AR15" s="36">
        <v>2.3393513553294281E-3</v>
      </c>
      <c r="AS15" s="9">
        <v>1.4433640576918413E-3</v>
      </c>
      <c r="AT15" s="9">
        <v>1.0713211958562662E-3</v>
      </c>
      <c r="AU15" s="2"/>
      <c r="AV15" s="3">
        <v>7.7632684000000003</v>
      </c>
      <c r="AW15" s="3">
        <v>8.8471144899999992</v>
      </c>
      <c r="AX15" s="3">
        <v>9.0270613500000003</v>
      </c>
      <c r="AY15" s="3">
        <v>34.790097299999999</v>
      </c>
      <c r="AZ15" s="3">
        <v>35.4246652</v>
      </c>
      <c r="BA15" s="3">
        <v>33.381258799999998</v>
      </c>
      <c r="BB15" s="3">
        <v>6.1920746099999997</v>
      </c>
      <c r="BC15" s="3">
        <v>5.8807356799999999</v>
      </c>
      <c r="BD15" s="3">
        <v>5.6501849999999996</v>
      </c>
      <c r="BF15" s="5">
        <v>8.5458147466666663</v>
      </c>
      <c r="BG15" s="5">
        <v>34.532007100000001</v>
      </c>
      <c r="BH15" s="5">
        <v>5.9076650966666664</v>
      </c>
      <c r="BI15" s="5">
        <v>48.985486943333335</v>
      </c>
      <c r="BJ15" s="5"/>
      <c r="BK15" s="5">
        <v>17.445605382166576</v>
      </c>
      <c r="BL15" s="5">
        <v>70.494363238538</v>
      </c>
      <c r="BM15" s="5">
        <v>12.060031379295431</v>
      </c>
    </row>
    <row r="16" spans="1:65" x14ac:dyDescent="0.2">
      <c r="A16" s="2" t="s">
        <v>17</v>
      </c>
      <c r="B16">
        <v>2772.8</v>
      </c>
      <c r="C16">
        <v>1754.91</v>
      </c>
      <c r="D16">
        <v>2631.44</v>
      </c>
      <c r="E16" s="65">
        <v>1709.43</v>
      </c>
      <c r="F16" s="66">
        <v>1316.64</v>
      </c>
      <c r="G16" s="73">
        <v>1846.16</v>
      </c>
      <c r="H16">
        <v>2755.88</v>
      </c>
      <c r="I16">
        <v>2110.87</v>
      </c>
      <c r="J16">
        <v>2979.75</v>
      </c>
      <c r="K16" s="65">
        <v>1872.28</v>
      </c>
      <c r="L16" s="66">
        <v>1548.21</v>
      </c>
      <c r="M16" s="73">
        <v>2075.4</v>
      </c>
      <c r="N16" s="36"/>
      <c r="O16" s="36">
        <v>1187.0879356109258</v>
      </c>
      <c r="P16" s="36">
        <v>751.31004366812238</v>
      </c>
      <c r="Q16" s="36">
        <v>1126.5690555698263</v>
      </c>
      <c r="R16" s="63">
        <v>1311.013114502646</v>
      </c>
      <c r="S16" s="64">
        <v>1009.7706879361915</v>
      </c>
      <c r="T16" s="72">
        <v>1415.8754505713628</v>
      </c>
      <c r="U16" s="36">
        <v>1028.6204837264856</v>
      </c>
      <c r="V16" s="36">
        <v>787.87324574499848</v>
      </c>
      <c r="W16" s="36">
        <v>1112.1790086593014</v>
      </c>
      <c r="X16" s="63">
        <v>1692.6860139227917</v>
      </c>
      <c r="Y16" s="64">
        <v>1399.7016544616217</v>
      </c>
      <c r="Z16" s="72">
        <v>1876.3222131814482</v>
      </c>
      <c r="AA16" s="36"/>
      <c r="AB16">
        <v>12926.81</v>
      </c>
      <c r="AC16">
        <v>15353.44</v>
      </c>
      <c r="AD16">
        <f>7078.75+1321.93</f>
        <v>8400.68</v>
      </c>
      <c r="AE16">
        <f>5363.94+10418.71</f>
        <v>15782.649999999998</v>
      </c>
      <c r="AF16">
        <f>16555.67+8275.16</f>
        <v>24830.829999999998</v>
      </c>
      <c r="AG16">
        <v>14555.94</v>
      </c>
      <c r="AH16">
        <v>4818.58</v>
      </c>
      <c r="AI16">
        <v>5795.74</v>
      </c>
      <c r="AJ16">
        <v>8520.77</v>
      </c>
      <c r="AK16" s="36"/>
      <c r="AL16" s="36">
        <v>3.1464571107276122E-2</v>
      </c>
      <c r="AM16" s="9">
        <v>3.7371122854075949E-2</v>
      </c>
      <c r="AN16" s="9">
        <v>2.044772014205147E-2</v>
      </c>
      <c r="AO16" s="36">
        <v>7.6184695143437772E-2</v>
      </c>
      <c r="AP16" s="9">
        <v>0.11986131693400848</v>
      </c>
      <c r="AQ16" s="9">
        <v>7.0263222679725623E-2</v>
      </c>
      <c r="AR16" s="36">
        <v>7.5538440934724759E-3</v>
      </c>
      <c r="AS16" s="9">
        <v>9.0856883908334331E-3</v>
      </c>
      <c r="AT16" s="9">
        <v>1.3357580062246029E-2</v>
      </c>
      <c r="AU16" s="2"/>
      <c r="AV16" s="3">
        <v>6.0283798199999996</v>
      </c>
      <c r="AW16" s="3">
        <v>9.4642648900000008</v>
      </c>
      <c r="AX16" s="3">
        <v>3.69696633</v>
      </c>
      <c r="AY16" s="3">
        <v>14.5964258</v>
      </c>
      <c r="AZ16" s="3">
        <v>30.354968400000001</v>
      </c>
      <c r="BA16" s="3">
        <v>12.7036543</v>
      </c>
      <c r="BB16" s="3">
        <v>1.4472608300000001</v>
      </c>
      <c r="BC16" s="3">
        <v>2.3009574000000002</v>
      </c>
      <c r="BD16" s="3">
        <v>2.4150625799999998</v>
      </c>
      <c r="BF16" s="5">
        <v>6.396537013333333</v>
      </c>
      <c r="BG16" s="5">
        <v>19.218349500000002</v>
      </c>
      <c r="BH16" s="5">
        <v>2.0544269366666668</v>
      </c>
      <c r="BI16" s="5">
        <v>27.669313450000001</v>
      </c>
      <c r="BJ16" s="5"/>
      <c r="BK16" s="5">
        <v>23.117801693534005</v>
      </c>
      <c r="BL16" s="5">
        <v>69.457269096064252</v>
      </c>
      <c r="BM16" s="5">
        <v>7.4249292104017375</v>
      </c>
    </row>
    <row r="17" spans="1:65" x14ac:dyDescent="0.2">
      <c r="A17" s="2" t="s">
        <v>18</v>
      </c>
      <c r="B17">
        <v>1200.74</v>
      </c>
      <c r="C17">
        <v>2342.58</v>
      </c>
      <c r="D17">
        <v>1925.41</v>
      </c>
      <c r="E17" s="65">
        <v>902.75</v>
      </c>
      <c r="F17" s="66">
        <v>1415.55</v>
      </c>
      <c r="G17" s="73">
        <v>1140.7</v>
      </c>
      <c r="H17">
        <v>1446.01</v>
      </c>
      <c r="I17">
        <v>2268.0700000000002</v>
      </c>
      <c r="J17">
        <v>1807.12</v>
      </c>
      <c r="K17" s="65">
        <v>1007.94</v>
      </c>
      <c r="L17" s="66">
        <v>1645.41</v>
      </c>
      <c r="M17" s="73">
        <v>1297.22</v>
      </c>
      <c r="N17" s="36"/>
      <c r="O17">
        <v>514.05942289579593</v>
      </c>
      <c r="P17">
        <v>1002.902645774467</v>
      </c>
      <c r="Q17">
        <v>824.30430687558874</v>
      </c>
      <c r="R17" s="65">
        <v>692.34603880665691</v>
      </c>
      <c r="S17" s="66">
        <v>1085.6277321880511</v>
      </c>
      <c r="T17" s="73">
        <v>874.8370273794003</v>
      </c>
      <c r="U17" s="36">
        <v>539.71707972529111</v>
      </c>
      <c r="V17" s="36">
        <v>846.54747685876396</v>
      </c>
      <c r="W17" s="36">
        <v>674.49985070170203</v>
      </c>
      <c r="X17" s="63">
        <v>911.25576349335506</v>
      </c>
      <c r="Y17" s="64">
        <v>1487.5779766748033</v>
      </c>
      <c r="Z17" s="72">
        <v>1172.7872705903624</v>
      </c>
      <c r="AA17" s="36"/>
      <c r="AB17">
        <v>19125.66</v>
      </c>
      <c r="AC17">
        <v>23586.66</v>
      </c>
      <c r="AD17">
        <v>17678.64</v>
      </c>
      <c r="AE17">
        <v>9045.86</v>
      </c>
      <c r="AF17">
        <v>19123.53</v>
      </c>
      <c r="AG17">
        <v>13042.01</v>
      </c>
      <c r="AH17">
        <v>6048.17</v>
      </c>
      <c r="AI17">
        <v>7827.08</v>
      </c>
      <c r="AJ17">
        <v>6445.75</v>
      </c>
      <c r="AK17" s="36"/>
      <c r="AL17" s="36">
        <v>4.6552915146396256E-2</v>
      </c>
      <c r="AM17" s="9">
        <v>5.7411236086331072E-2</v>
      </c>
      <c r="AN17" s="9">
        <v>4.3030788366189024E-2</v>
      </c>
      <c r="AO17" s="36">
        <v>4.3665422879568268E-2</v>
      </c>
      <c r="AP17" s="9">
        <v>9.2311513156306868E-2</v>
      </c>
      <c r="AQ17" s="9">
        <v>6.295530572544325E-2</v>
      </c>
      <c r="AR17" s="36">
        <v>9.4814101313701188E-3</v>
      </c>
      <c r="AS17" s="36">
        <v>1.2270117343104514E-2</v>
      </c>
      <c r="AT17" s="36">
        <v>1.0104676183751273E-2</v>
      </c>
      <c r="AU17" s="2"/>
      <c r="AV17" s="3">
        <v>17.518362</v>
      </c>
      <c r="AW17" s="3">
        <v>12.9811675</v>
      </c>
      <c r="AX17" s="3">
        <v>12.133556</v>
      </c>
      <c r="AY17" s="3">
        <v>16.431767700000002</v>
      </c>
      <c r="AZ17" s="3">
        <v>20.8724162</v>
      </c>
      <c r="BA17" s="3">
        <v>17.7517484</v>
      </c>
      <c r="BB17" s="3">
        <v>3.5679564799999999</v>
      </c>
      <c r="BC17" s="3">
        <v>2.7743776200000001</v>
      </c>
      <c r="BD17" s="3">
        <v>2.8492541999999998</v>
      </c>
      <c r="BF17" s="5">
        <v>14.211028499999999</v>
      </c>
      <c r="BG17" s="5">
        <v>18.351977433333332</v>
      </c>
      <c r="BH17" s="5">
        <v>3.0638627666666665</v>
      </c>
      <c r="BI17" s="5">
        <v>35.626868699999996</v>
      </c>
      <c r="BJ17" s="5"/>
      <c r="BK17" s="5">
        <v>39.888513974285935</v>
      </c>
      <c r="BL17" s="5">
        <v>51.511620591380613</v>
      </c>
      <c r="BM17" s="5">
        <v>8.5998654343334611</v>
      </c>
    </row>
    <row r="18" spans="1:65" x14ac:dyDescent="0.2">
      <c r="A18" s="2" t="s">
        <v>19</v>
      </c>
      <c r="B18">
        <v>2475.6</v>
      </c>
      <c r="C18">
        <v>1761.06</v>
      </c>
      <c r="D18">
        <v>2020.82</v>
      </c>
      <c r="E18" s="65">
        <v>1328.18</v>
      </c>
      <c r="F18" s="66">
        <v>912.3</v>
      </c>
      <c r="G18" s="73">
        <v>1075.92</v>
      </c>
      <c r="H18">
        <v>2113.92</v>
      </c>
      <c r="I18">
        <v>1459.41</v>
      </c>
      <c r="J18">
        <v>1718.54</v>
      </c>
      <c r="K18" s="65">
        <v>1652.09</v>
      </c>
      <c r="L18" s="66">
        <v>1095.83</v>
      </c>
      <c r="M18" s="73">
        <v>1350.23</v>
      </c>
      <c r="N18" s="36"/>
      <c r="O18">
        <v>1059.8510146416645</v>
      </c>
      <c r="P18">
        <v>753.94297456974061</v>
      </c>
      <c r="Q18">
        <v>865.15112595256448</v>
      </c>
      <c r="R18" s="63">
        <v>1018.6210598972314</v>
      </c>
      <c r="S18" s="64">
        <v>699.670220108904</v>
      </c>
      <c r="T18" s="72">
        <v>825.15530332080687</v>
      </c>
      <c r="U18" s="36">
        <v>789.01164526724403</v>
      </c>
      <c r="V18" s="36">
        <v>544.71857270827115</v>
      </c>
      <c r="W18" s="36">
        <v>641.4377426097343</v>
      </c>
      <c r="X18" s="63">
        <v>1493.6172136334869</v>
      </c>
      <c r="Y18" s="64">
        <v>990.71512521471823</v>
      </c>
      <c r="Z18" s="72">
        <v>1220.7124129825513</v>
      </c>
      <c r="AA18" s="36"/>
      <c r="AB18">
        <v>16387.490000000002</v>
      </c>
      <c r="AC18">
        <v>14576.69</v>
      </c>
      <c r="AD18">
        <v>13679.6</v>
      </c>
      <c r="AE18">
        <v>8191.03</v>
      </c>
      <c r="AF18">
        <v>8779.1299999999992</v>
      </c>
      <c r="AG18">
        <v>9103.64</v>
      </c>
      <c r="AH18">
        <v>4107.17</v>
      </c>
      <c r="AI18">
        <v>3286.08</v>
      </c>
      <c r="AJ18">
        <v>4356.12</v>
      </c>
      <c r="AK18" s="36"/>
      <c r="AL18" s="36">
        <v>3.9888057794210362E-2</v>
      </c>
      <c r="AM18" s="9">
        <v>3.5480470356856857E-2</v>
      </c>
      <c r="AN18" s="9">
        <v>3.3296903638182537E-2</v>
      </c>
      <c r="AO18" s="36">
        <v>3.953905861567944E-2</v>
      </c>
      <c r="AP18" s="36">
        <v>4.237788601246361E-2</v>
      </c>
      <c r="AQ18" s="36">
        <v>4.3944333688930935E-2</v>
      </c>
      <c r="AR18" s="36">
        <v>6.4386026267878394E-3</v>
      </c>
      <c r="AS18" s="36">
        <v>5.1514213728272714E-3</v>
      </c>
      <c r="AT18" s="36">
        <v>6.8288689473781326E-3</v>
      </c>
      <c r="AU18" s="2"/>
      <c r="AV18" s="3">
        <v>9.1463275900000003</v>
      </c>
      <c r="AW18" s="3">
        <v>11.8701618</v>
      </c>
      <c r="AX18" s="3">
        <v>9.37292345</v>
      </c>
      <c r="AY18" s="3">
        <v>9.0663021100000005</v>
      </c>
      <c r="AZ18" s="3">
        <v>14.1777254</v>
      </c>
      <c r="BA18" s="3">
        <v>12.3701255</v>
      </c>
      <c r="BB18" s="3">
        <v>1.4763709300000001</v>
      </c>
      <c r="BC18" s="3">
        <v>1.7234327700000001</v>
      </c>
      <c r="BD18" s="3">
        <v>1.9222948399999999</v>
      </c>
      <c r="BF18" s="5">
        <v>10.12980428</v>
      </c>
      <c r="BG18" s="5">
        <v>11.871384336666667</v>
      </c>
      <c r="BH18" s="5">
        <v>1.7073661800000002</v>
      </c>
      <c r="BI18" s="5">
        <v>23.708554796666668</v>
      </c>
      <c r="BJ18" s="5"/>
      <c r="BK18" s="5">
        <v>42.726367620788977</v>
      </c>
      <c r="BL18" s="5">
        <v>50.072155129150843</v>
      </c>
      <c r="BM18" s="5">
        <v>7.2014772500601731</v>
      </c>
    </row>
    <row r="19" spans="1:65" x14ac:dyDescent="0.2">
      <c r="A19" s="2" t="s">
        <v>20</v>
      </c>
      <c r="B19">
        <v>2319.2800000000002</v>
      </c>
      <c r="C19">
        <v>3422.73</v>
      </c>
      <c r="D19">
        <v>2236.31</v>
      </c>
      <c r="E19" s="65">
        <v>1228.3399999999999</v>
      </c>
      <c r="F19" s="66">
        <v>1674.84</v>
      </c>
      <c r="G19" s="73">
        <v>1109.52</v>
      </c>
      <c r="H19">
        <v>1968.76</v>
      </c>
      <c r="I19">
        <v>2691.56</v>
      </c>
      <c r="J19">
        <v>1779.94</v>
      </c>
      <c r="K19" s="65">
        <v>1510.23</v>
      </c>
      <c r="L19" s="66">
        <v>2155.41</v>
      </c>
      <c r="M19" s="73">
        <v>1434.25</v>
      </c>
      <c r="N19" s="36"/>
      <c r="O19" s="36">
        <v>992.92747666752302</v>
      </c>
      <c r="P19" s="36">
        <v>1465.3352170562548</v>
      </c>
      <c r="Q19" s="36">
        <v>957.40645603219457</v>
      </c>
      <c r="R19" s="63">
        <v>942.05077076462908</v>
      </c>
      <c r="S19" s="64">
        <v>1284.4850065189048</v>
      </c>
      <c r="T19" s="72">
        <v>850.9241506250479</v>
      </c>
      <c r="U19" s="36">
        <v>734.83129292326078</v>
      </c>
      <c r="V19" s="36">
        <v>1004.6133174081816</v>
      </c>
      <c r="W19" s="36">
        <v>664.35503135264264</v>
      </c>
      <c r="X19" s="63">
        <v>1365.3647952264712</v>
      </c>
      <c r="Y19" s="64">
        <v>1948.6574450772982</v>
      </c>
      <c r="Z19" s="72">
        <v>1296.6729952083897</v>
      </c>
      <c r="AA19" s="36"/>
      <c r="AB19">
        <v>16427.71</v>
      </c>
      <c r="AC19">
        <v>13545.59</v>
      </c>
      <c r="AD19">
        <v>11280.91</v>
      </c>
      <c r="AE19">
        <v>15142.55</v>
      </c>
      <c r="AF19">
        <f>6449.51+9457.07</f>
        <v>15906.58</v>
      </c>
      <c r="AG19">
        <v>11256.04</v>
      </c>
      <c r="AH19">
        <v>5349.74</v>
      </c>
      <c r="AI19">
        <v>7836.66</v>
      </c>
      <c r="AJ19">
        <v>4811.83</v>
      </c>
      <c r="AK19" s="36"/>
      <c r="AL19" s="36">
        <v>3.9985955500599996E-2</v>
      </c>
      <c r="AM19" s="36">
        <v>3.2970715880020547E-2</v>
      </c>
      <c r="AN19" s="36">
        <v>2.7458359398009429E-2</v>
      </c>
      <c r="AO19" s="36">
        <v>7.3094857672460808E-2</v>
      </c>
      <c r="AP19" s="36">
        <v>7.6782919729874541E-2</v>
      </c>
      <c r="AQ19" s="36">
        <v>5.4334219913787701E-2</v>
      </c>
      <c r="AR19" s="36">
        <v>8.3865167540257586E-3</v>
      </c>
      <c r="AS19" s="36">
        <v>1.2285135424451189E-2</v>
      </c>
      <c r="AT19" s="36">
        <v>7.5432624599557673E-3</v>
      </c>
      <c r="AU19" s="2"/>
      <c r="AV19" s="3">
        <v>9.9093501699999997</v>
      </c>
      <c r="AW19" s="3">
        <v>5.7812010999999996</v>
      </c>
      <c r="AX19" s="3">
        <v>7.2846237399999998</v>
      </c>
      <c r="AY19" s="3">
        <v>18.1144237</v>
      </c>
      <c r="AZ19" s="3">
        <v>13.4633868</v>
      </c>
      <c r="BA19" s="3">
        <v>14.4147122</v>
      </c>
      <c r="BB19" s="3">
        <v>2.0783530200000002</v>
      </c>
      <c r="BC19" s="3">
        <v>2.1541187800000001</v>
      </c>
      <c r="BD19" s="3">
        <v>2.00120583</v>
      </c>
      <c r="BF19" s="5">
        <v>7.6583916700000003</v>
      </c>
      <c r="BG19" s="5">
        <v>15.330840899999998</v>
      </c>
      <c r="BH19" s="5">
        <v>2.0778925433333337</v>
      </c>
      <c r="BI19" s="5">
        <v>25.067125113333333</v>
      </c>
      <c r="BJ19" s="5"/>
      <c r="BK19" s="5">
        <v>30.551535668230507</v>
      </c>
      <c r="BL19" s="5">
        <v>61.159151002303993</v>
      </c>
      <c r="BM19" s="5">
        <v>8.2893133294655001</v>
      </c>
    </row>
    <row r="20" spans="1:65" x14ac:dyDescent="0.2">
      <c r="A20" s="2" t="s">
        <v>21</v>
      </c>
      <c r="B20">
        <v>911.51</v>
      </c>
      <c r="C20">
        <v>1671.76</v>
      </c>
      <c r="D20">
        <v>1588.18</v>
      </c>
      <c r="E20" s="65">
        <v>616.59</v>
      </c>
      <c r="F20" s="66">
        <v>970.35</v>
      </c>
      <c r="G20" s="73">
        <v>844.92</v>
      </c>
      <c r="H20">
        <v>977.59</v>
      </c>
      <c r="I20">
        <v>1567.17</v>
      </c>
      <c r="J20">
        <v>1360.92</v>
      </c>
      <c r="K20" s="65">
        <v>712.59</v>
      </c>
      <c r="L20" s="66">
        <v>1213.6600000000001</v>
      </c>
      <c r="M20" s="73">
        <v>1065.04</v>
      </c>
      <c r="N20" s="36"/>
      <c r="O20" s="36">
        <v>390.2346091274938</v>
      </c>
      <c r="P20" s="36">
        <v>715.71196164055141</v>
      </c>
      <c r="Q20" s="36">
        <v>679.92978850929023</v>
      </c>
      <c r="R20" s="63">
        <v>472.88135593220341</v>
      </c>
      <c r="S20" s="64">
        <v>744.19050540685635</v>
      </c>
      <c r="T20" s="72">
        <v>647.99447810414904</v>
      </c>
      <c r="U20" s="36">
        <v>364.8813078530905</v>
      </c>
      <c r="V20" s="36">
        <v>584.93953418931028</v>
      </c>
      <c r="W20" s="36">
        <v>507.95759928336821</v>
      </c>
      <c r="X20" s="63">
        <v>644.23650664496881</v>
      </c>
      <c r="Y20" s="64">
        <v>1097.2425639634753</v>
      </c>
      <c r="Z20" s="72">
        <v>962.87858240665389</v>
      </c>
      <c r="AA20" s="36"/>
      <c r="AB20">
        <v>10495.62</v>
      </c>
      <c r="AC20">
        <v>10377.51</v>
      </c>
      <c r="AD20">
        <v>8998.36</v>
      </c>
      <c r="AE20">
        <v>23443.360000000001</v>
      </c>
      <c r="AF20">
        <v>11472.8</v>
      </c>
      <c r="AG20">
        <v>7708.56</v>
      </c>
      <c r="AH20">
        <v>3989.87</v>
      </c>
      <c r="AI20">
        <v>6810.39</v>
      </c>
      <c r="AJ20">
        <v>6446.27</v>
      </c>
      <c r="AK20" s="36"/>
      <c r="AL20" s="36">
        <v>2.554692006805619E-2</v>
      </c>
      <c r="AM20" s="36">
        <v>2.5259433790043254E-2</v>
      </c>
      <c r="AN20" s="36">
        <v>2.1902506346799341E-2</v>
      </c>
      <c r="AO20" s="36">
        <v>0.11316383717169572</v>
      </c>
      <c r="AP20" s="36">
        <v>5.5380545753826692E-2</v>
      </c>
      <c r="AQ20" s="36">
        <v>3.7210119567683421E-2</v>
      </c>
      <c r="AR20" s="36">
        <v>6.2547173510086014E-3</v>
      </c>
      <c r="AS20" s="36">
        <v>1.0676303864570894E-2</v>
      </c>
      <c r="AT20" s="36">
        <v>1.0105491361444414E-2</v>
      </c>
      <c r="AU20" s="2"/>
      <c r="AV20" s="3">
        <v>13.645155000000001</v>
      </c>
      <c r="AW20" s="3">
        <v>8.0390687300000003</v>
      </c>
      <c r="AX20" s="3">
        <v>7.8257881500000002</v>
      </c>
      <c r="AY20" s="3">
        <v>60.443219399999997</v>
      </c>
      <c r="AZ20" s="3">
        <v>17.625415400000001</v>
      </c>
      <c r="BA20" s="3">
        <v>13.2952142</v>
      </c>
      <c r="BB20" s="3">
        <v>3.34077796</v>
      </c>
      <c r="BC20" s="3">
        <v>3.3978410299999999</v>
      </c>
      <c r="BD20" s="3">
        <v>3.6107024999999999</v>
      </c>
      <c r="BF20" s="5">
        <v>9.8366706266666668</v>
      </c>
      <c r="BG20" s="5">
        <v>30.454616333333334</v>
      </c>
      <c r="BH20" s="5">
        <v>3.4497738299999998</v>
      </c>
      <c r="BI20" s="5">
        <v>43.741060789999999</v>
      </c>
      <c r="BJ20" s="5"/>
      <c r="BK20" s="5">
        <v>22.488413515832036</v>
      </c>
      <c r="BL20" s="5">
        <v>69.624777687823737</v>
      </c>
      <c r="BM20" s="5">
        <v>7.886808796344237</v>
      </c>
    </row>
    <row r="21" spans="1:65" x14ac:dyDescent="0.2">
      <c r="A21" s="2" t="s">
        <v>22</v>
      </c>
      <c r="B21">
        <v>2369.67</v>
      </c>
      <c r="C21">
        <v>1391.71</v>
      </c>
      <c r="D21">
        <v>2866.83</v>
      </c>
      <c r="E21" s="65">
        <v>1221.83</v>
      </c>
      <c r="F21" s="66">
        <v>2244.56</v>
      </c>
      <c r="G21" s="73">
        <v>1505.54</v>
      </c>
      <c r="H21">
        <v>1969.87</v>
      </c>
      <c r="I21">
        <v>1765.02</v>
      </c>
      <c r="J21">
        <v>2412.39</v>
      </c>
      <c r="K21" s="65">
        <v>1561.34</v>
      </c>
      <c r="L21" s="66">
        <v>2615.13</v>
      </c>
      <c r="M21" s="73">
        <v>1909.39</v>
      </c>
      <c r="O21" s="36">
        <v>1014.5003853069613</v>
      </c>
      <c r="P21" s="36">
        <v>595.81727887661623</v>
      </c>
      <c r="Q21" s="36">
        <v>1227.343950680709</v>
      </c>
      <c r="R21" s="63">
        <v>937.05805659943235</v>
      </c>
      <c r="S21" s="64">
        <v>1721.4203543216504</v>
      </c>
      <c r="T21" s="72">
        <v>1154.6437610246185</v>
      </c>
      <c r="U21" s="36">
        <v>735.24559570020904</v>
      </c>
      <c r="V21" s="36">
        <v>658.7862048372649</v>
      </c>
      <c r="W21" s="36">
        <v>900.41430277694838</v>
      </c>
      <c r="X21" s="63">
        <v>1411.5721905795135</v>
      </c>
      <c r="Y21" s="64">
        <v>2364.2799023596417</v>
      </c>
      <c r="Z21" s="72">
        <v>1726.2363258294909</v>
      </c>
      <c r="AA21" s="36"/>
      <c r="AB21">
        <v>11684.77</v>
      </c>
      <c r="AC21">
        <v>12451.65</v>
      </c>
      <c r="AD21">
        <v>12054.99</v>
      </c>
      <c r="AE21">
        <v>10986.34</v>
      </c>
      <c r="AF21">
        <v>11563.84</v>
      </c>
      <c r="AG21">
        <v>13602.95</v>
      </c>
      <c r="AH21">
        <v>12440.78</v>
      </c>
      <c r="AI21">
        <v>14305.88</v>
      </c>
      <c r="AJ21">
        <v>16075.66</v>
      </c>
      <c r="AK21" s="36"/>
      <c r="AL21" s="36">
        <v>2.8441376993795595E-2</v>
      </c>
      <c r="AM21" s="36">
        <v>3.0308005364658001E-2</v>
      </c>
      <c r="AN21" s="36">
        <v>2.9342512967429905E-2</v>
      </c>
      <c r="AO21" s="36">
        <v>5.3032346509753192E-2</v>
      </c>
      <c r="AP21" s="36">
        <v>5.5820006468336528E-2</v>
      </c>
      <c r="AQ21" s="36">
        <v>6.5663028629629819E-2</v>
      </c>
      <c r="AR21" s="36">
        <v>1.9502781425480228E-2</v>
      </c>
      <c r="AS21" s="36">
        <v>2.2426604339852409E-2</v>
      </c>
      <c r="AT21" s="36">
        <v>2.5200998912474574E-2</v>
      </c>
      <c r="AU21" s="2"/>
      <c r="AV21" s="3">
        <v>6.9396696200000001</v>
      </c>
      <c r="AW21" s="3">
        <v>5.67533362</v>
      </c>
      <c r="AX21" s="3">
        <v>5.8583812599999998</v>
      </c>
      <c r="AY21" s="3">
        <v>12.939843400000001</v>
      </c>
      <c r="AZ21" s="3">
        <v>10.452590199999999</v>
      </c>
      <c r="BA21" s="3">
        <v>13.1099561</v>
      </c>
      <c r="BB21" s="3">
        <v>4.7586605899999999</v>
      </c>
      <c r="BC21" s="3">
        <v>4.1994997700000001</v>
      </c>
      <c r="BD21" s="3">
        <v>5.0315070100000003</v>
      </c>
      <c r="BF21" s="5">
        <v>6.1577948333333339</v>
      </c>
      <c r="BG21" s="5">
        <v>12.167463233333335</v>
      </c>
      <c r="BH21" s="5">
        <v>4.6632224566666673</v>
      </c>
      <c r="BI21" s="5">
        <v>22.988480523333337</v>
      </c>
      <c r="BJ21" s="5"/>
      <c r="BK21" s="5">
        <v>26.786436916016111</v>
      </c>
      <c r="BL21" s="5">
        <v>52.928523140028084</v>
      </c>
      <c r="BM21" s="5">
        <v>20.285039943955802</v>
      </c>
    </row>
    <row r="22" spans="1:65" x14ac:dyDescent="0.2">
      <c r="A22" s="2" t="s">
        <v>23</v>
      </c>
      <c r="B22">
        <v>1919.54</v>
      </c>
      <c r="C22">
        <v>2561.41</v>
      </c>
      <c r="D22">
        <v>2352.21</v>
      </c>
      <c r="E22" s="65">
        <v>1226.3499999999999</v>
      </c>
      <c r="F22" s="66">
        <v>1626.35</v>
      </c>
      <c r="G22" s="73">
        <v>1354.52</v>
      </c>
      <c r="H22">
        <v>1967.74</v>
      </c>
      <c r="I22">
        <v>2617.9299999999998</v>
      </c>
      <c r="J22">
        <v>2171.1799999999998</v>
      </c>
      <c r="K22" s="65">
        <v>1496.84</v>
      </c>
      <c r="L22" s="66">
        <v>1984.09</v>
      </c>
      <c r="M22" s="73">
        <v>1638.7</v>
      </c>
      <c r="N22" s="36"/>
      <c r="O22" s="36">
        <v>821.79124925079202</v>
      </c>
      <c r="P22" s="36">
        <v>1096.5878927990409</v>
      </c>
      <c r="Q22" s="36">
        <v>1007.0254302594401</v>
      </c>
      <c r="R22" s="63">
        <v>940.52458010583621</v>
      </c>
      <c r="S22" s="64">
        <v>1247.2965718229925</v>
      </c>
      <c r="T22" s="72">
        <v>1038.8219955518061</v>
      </c>
      <c r="U22" s="36">
        <v>734.45058226336221</v>
      </c>
      <c r="V22" s="36">
        <v>977.13123320394152</v>
      </c>
      <c r="W22" s="36">
        <v>810.38369662585842</v>
      </c>
      <c r="X22" s="63">
        <v>1353.2591989874331</v>
      </c>
      <c r="Y22" s="64">
        <v>1793.770906789621</v>
      </c>
      <c r="Z22" s="72">
        <v>1481.5116173944489</v>
      </c>
      <c r="AA22" s="36"/>
      <c r="AB22">
        <v>20153.36</v>
      </c>
      <c r="AC22">
        <v>20664.62</v>
      </c>
      <c r="AD22">
        <v>24599.26</v>
      </c>
      <c r="AE22">
        <v>35264.76</v>
      </c>
      <c r="AF22">
        <v>42885.88</v>
      </c>
      <c r="AG22">
        <v>31379.39</v>
      </c>
      <c r="AH22">
        <f>687.01+920.15+559.01+649.08</f>
        <v>2815.25</v>
      </c>
      <c r="AI22">
        <f>1576.8+1813.12</f>
        <v>3389.92</v>
      </c>
      <c r="AJ22">
        <f>3648.93+503.28</f>
        <v>4152.21</v>
      </c>
      <c r="AK22" s="36"/>
      <c r="AL22" s="36">
        <v>4.90543938350246E-2</v>
      </c>
      <c r="AM22" s="36">
        <v>5.0298828975968567E-2</v>
      </c>
      <c r="AN22" s="36">
        <v>5.9875960539094573E-2</v>
      </c>
      <c r="AO22" s="36">
        <v>0.17022711584597636</v>
      </c>
      <c r="AP22" s="36">
        <v>0.20701515231967096</v>
      </c>
      <c r="AQ22" s="36">
        <v>0.15147198100046821</v>
      </c>
      <c r="AR22" s="36">
        <v>4.41332500117221E-3</v>
      </c>
      <c r="AS22" s="36">
        <v>5.3142060875494886E-3</v>
      </c>
      <c r="AT22" s="36">
        <v>6.5092095562089558E-3</v>
      </c>
      <c r="AU22" s="2"/>
      <c r="AV22" s="3">
        <v>12.7413162</v>
      </c>
      <c r="AW22" s="3">
        <v>9.8340034200000002</v>
      </c>
      <c r="AX22" s="3">
        <v>13.8034835</v>
      </c>
      <c r="AY22" s="3">
        <v>44.214541199999999</v>
      </c>
      <c r="AZ22" s="3">
        <v>40.473859099999999</v>
      </c>
      <c r="BA22" s="3">
        <v>34.919539999999998</v>
      </c>
      <c r="BB22" s="3">
        <v>1.1463105600000001</v>
      </c>
      <c r="BC22" s="3">
        <v>1.0389888199999999</v>
      </c>
      <c r="BD22" s="3">
        <v>1.50059834</v>
      </c>
      <c r="BF22" s="5">
        <v>12.126267706666667</v>
      </c>
      <c r="BG22" s="5">
        <v>39.869313433333332</v>
      </c>
      <c r="BH22" s="5">
        <v>1.2286325733333332</v>
      </c>
      <c r="BI22" s="5">
        <v>53.224213713333334</v>
      </c>
      <c r="BJ22" s="5"/>
      <c r="BK22" s="5">
        <v>22.783366555641354</v>
      </c>
      <c r="BL22" s="5">
        <v>74.908224380862137</v>
      </c>
      <c r="BM22" s="5">
        <v>2.3084090634964989</v>
      </c>
    </row>
    <row r="23" spans="1:65" x14ac:dyDescent="0.2">
      <c r="A23" s="2" t="s">
        <v>24</v>
      </c>
      <c r="B23">
        <v>2675.84</v>
      </c>
      <c r="C23">
        <v>2697.01</v>
      </c>
      <c r="D23">
        <v>3715.5</v>
      </c>
      <c r="E23" s="65">
        <v>1643.39</v>
      </c>
      <c r="F23" s="66">
        <v>1598.71</v>
      </c>
      <c r="G23" s="73">
        <v>2290.88</v>
      </c>
      <c r="H23">
        <v>2635.84</v>
      </c>
      <c r="I23">
        <v>2570.58</v>
      </c>
      <c r="J23">
        <v>3690.26</v>
      </c>
      <c r="K23" s="65">
        <v>1895.64</v>
      </c>
      <c r="L23" s="66">
        <v>1911.66</v>
      </c>
      <c r="M23" s="73">
        <v>2644.01</v>
      </c>
      <c r="N23" s="36"/>
      <c r="O23" s="36">
        <v>1145.577532322973</v>
      </c>
      <c r="P23" s="36">
        <v>1154.6408082883811</v>
      </c>
      <c r="Q23" s="36">
        <v>1590.6755715386591</v>
      </c>
      <c r="R23" s="63">
        <v>1260.3650586701435</v>
      </c>
      <c r="S23" s="64">
        <v>1226.098627195337</v>
      </c>
      <c r="T23" s="72">
        <v>1756.944550962497</v>
      </c>
      <c r="U23" s="36">
        <v>983.8160644968649</v>
      </c>
      <c r="V23" s="36">
        <v>959.45804717826218</v>
      </c>
      <c r="W23" s="36">
        <v>1377.3738429381906</v>
      </c>
      <c r="X23" s="63">
        <v>1713.805261730404</v>
      </c>
      <c r="Y23" s="64">
        <v>1728.2885815025766</v>
      </c>
      <c r="Z23" s="72">
        <v>2390.3896573546695</v>
      </c>
      <c r="AA23" s="36"/>
      <c r="AB23">
        <v>16024.48</v>
      </c>
      <c r="AC23">
        <f>3228.88+12688</f>
        <v>15916.880000000001</v>
      </c>
      <c r="AD23">
        <v>25743.45</v>
      </c>
      <c r="AE23">
        <v>19293.79</v>
      </c>
      <c r="AF23">
        <v>13059.39</v>
      </c>
      <c r="AG23">
        <v>38187.440000000002</v>
      </c>
      <c r="AH23">
        <v>15789.34</v>
      </c>
      <c r="AI23">
        <f>6530.65+7387.8</f>
        <v>13918.45</v>
      </c>
      <c r="AJ23">
        <v>20879.939999999999</v>
      </c>
      <c r="AK23" s="36"/>
      <c r="AL23" s="36">
        <v>3.900447135968766E-2</v>
      </c>
      <c r="AM23" s="36">
        <v>3.8742567003458794E-2</v>
      </c>
      <c r="AN23" s="36">
        <v>6.2660982336060295E-2</v>
      </c>
      <c r="AO23" s="36">
        <v>9.3133378064615788E-2</v>
      </c>
      <c r="AP23" s="36">
        <v>6.3039201015625379E-2</v>
      </c>
      <c r="AQ23" s="36">
        <v>0.18433523360831811</v>
      </c>
      <c r="AR23" s="36">
        <v>2.4752149533436966E-2</v>
      </c>
      <c r="AS23" s="36">
        <v>2.1819249928981564E-2</v>
      </c>
      <c r="AT23" s="36">
        <v>3.2732425619385726E-2</v>
      </c>
      <c r="AU23" s="2"/>
      <c r="AV23" s="3">
        <v>7.64259486</v>
      </c>
      <c r="AW23" s="3">
        <v>7.6438144499999998</v>
      </c>
      <c r="AX23" s="3">
        <v>8.8064095600000005</v>
      </c>
      <c r="AY23" s="3">
        <v>18.248694400000002</v>
      </c>
      <c r="AZ23" s="3">
        <v>12.437481399999999</v>
      </c>
      <c r="BA23" s="3">
        <v>25.906576999999999</v>
      </c>
      <c r="BB23" s="3">
        <v>4.8499734600000002</v>
      </c>
      <c r="BC23" s="3">
        <v>4.3048850600000002</v>
      </c>
      <c r="BD23" s="3">
        <v>4.6002334300000003</v>
      </c>
      <c r="BF23" s="5">
        <v>8.0309396233333334</v>
      </c>
      <c r="BG23" s="5">
        <v>18.864250933333334</v>
      </c>
      <c r="BH23" s="5">
        <v>4.5850306500000002</v>
      </c>
      <c r="BI23" s="5">
        <v>31.48022120666667</v>
      </c>
      <c r="BJ23" s="5"/>
      <c r="BK23" s="5">
        <v>25.511064774959696</v>
      </c>
      <c r="BL23" s="5">
        <v>59.924137157391989</v>
      </c>
      <c r="BM23" s="5">
        <v>14.564798067648308</v>
      </c>
    </row>
    <row r="24" spans="1:65" x14ac:dyDescent="0.2">
      <c r="A24" s="2" t="s">
        <v>25</v>
      </c>
      <c r="B24">
        <v>1523.13</v>
      </c>
      <c r="C24">
        <v>874.59</v>
      </c>
      <c r="D24">
        <v>2300.7199999999998</v>
      </c>
      <c r="E24" s="65">
        <v>1286.17</v>
      </c>
      <c r="F24" s="66">
        <v>720.49</v>
      </c>
      <c r="G24" s="73">
        <v>1524.32</v>
      </c>
      <c r="H24">
        <v>2069.48</v>
      </c>
      <c r="I24">
        <v>1156.79</v>
      </c>
      <c r="J24">
        <v>2451.75</v>
      </c>
      <c r="K24" s="65">
        <v>1540.41</v>
      </c>
      <c r="L24" s="66">
        <v>849.82</v>
      </c>
      <c r="M24" s="73">
        <v>1811.05</v>
      </c>
      <c r="N24" s="36"/>
      <c r="O24" s="36">
        <v>652.08065759054716</v>
      </c>
      <c r="P24" s="36">
        <v>374.42846134086824</v>
      </c>
      <c r="Q24" s="36">
        <v>984.98159088963098</v>
      </c>
      <c r="R24" s="63">
        <v>986.40233146713706</v>
      </c>
      <c r="S24" s="64">
        <v>552.5653807807347</v>
      </c>
      <c r="T24" s="72">
        <v>1169.0467060357389</v>
      </c>
      <c r="U24" s="36">
        <v>772.42460435951034</v>
      </c>
      <c r="V24" s="36">
        <v>431.76694535682293</v>
      </c>
      <c r="W24" s="36">
        <v>915.10525530008965</v>
      </c>
      <c r="X24" s="63">
        <v>1392.6498508272307</v>
      </c>
      <c r="Y24" s="64">
        <v>768.30304674080105</v>
      </c>
      <c r="Z24" s="72">
        <v>1637.3293553928215</v>
      </c>
      <c r="AA24" s="36"/>
      <c r="AB24">
        <v>6404.75</v>
      </c>
      <c r="AC24">
        <v>7697.51</v>
      </c>
      <c r="AD24">
        <v>11682.16</v>
      </c>
      <c r="AE24">
        <v>3646.01</v>
      </c>
      <c r="AF24">
        <v>18851.349999999999</v>
      </c>
      <c r="AG24">
        <f>6599.17+9328.33</f>
        <v>15927.5</v>
      </c>
      <c r="AH24">
        <f>4051.86+224.37</f>
        <v>4276.2300000000005</v>
      </c>
      <c r="AI24">
        <f>3404.19+2636.69</f>
        <v>6040.88</v>
      </c>
      <c r="AJ24">
        <f>2610.66+796.24</f>
        <v>3406.8999999999996</v>
      </c>
      <c r="AK24" s="36"/>
      <c r="AL24" s="36">
        <v>1.5589516036773709E-2</v>
      </c>
      <c r="AM24" s="36">
        <v>1.8736165437874389E-2</v>
      </c>
      <c r="AN24" s="36">
        <v>2.8435024109318294E-2</v>
      </c>
      <c r="AO24" s="36">
        <v>1.7599716165531489E-2</v>
      </c>
      <c r="AP24" s="36">
        <v>9.0997668502580092E-2</v>
      </c>
      <c r="AQ24" s="36">
        <v>7.6883903013569024E-2</v>
      </c>
      <c r="AR24" s="36">
        <v>6.7036294360226061E-3</v>
      </c>
      <c r="AS24" s="36">
        <v>9.4699819671720739E-3</v>
      </c>
      <c r="AT24" s="36">
        <v>5.3408247745292958E-3</v>
      </c>
      <c r="AU24" s="2"/>
      <c r="AV24" s="3">
        <v>4.0986671699999997</v>
      </c>
      <c r="AW24" s="3">
        <v>8.8084641099999992</v>
      </c>
      <c r="AX24" s="3">
        <v>6.0416972700000002</v>
      </c>
      <c r="AY24" s="3">
        <v>4.6271724399999998</v>
      </c>
      <c r="AZ24" s="3">
        <v>42.780882800000001</v>
      </c>
      <c r="BA24" s="3">
        <v>16.3358141</v>
      </c>
      <c r="BB24" s="3">
        <v>1.76246305</v>
      </c>
      <c r="BC24" s="3">
        <v>4.4521381099999999</v>
      </c>
      <c r="BD24" s="3">
        <v>1.1347852700000001</v>
      </c>
      <c r="BF24" s="5">
        <v>6.3162761833333327</v>
      </c>
      <c r="BG24" s="5">
        <v>21.247956446666667</v>
      </c>
      <c r="BH24" s="5">
        <v>2.4497954766666665</v>
      </c>
      <c r="BI24" s="5">
        <v>30.014028106666665</v>
      </c>
      <c r="BJ24" s="5"/>
      <c r="BK24" s="5">
        <v>21.044413501866391</v>
      </c>
      <c r="BL24" s="5">
        <v>70.793418234812364</v>
      </c>
      <c r="BM24" s="5">
        <v>8.1621682633212504</v>
      </c>
    </row>
    <row r="25" spans="1:65" x14ac:dyDescent="0.2">
      <c r="A25" s="2" t="s">
        <v>26</v>
      </c>
      <c r="B25">
        <v>526.07000000000005</v>
      </c>
      <c r="C25">
        <v>420.15</v>
      </c>
      <c r="D25">
        <v>428.31</v>
      </c>
      <c r="E25" s="65">
        <v>537.23</v>
      </c>
      <c r="F25" s="66">
        <v>522.44000000000005</v>
      </c>
      <c r="G25" s="73">
        <v>496.08</v>
      </c>
      <c r="H25">
        <v>398.84</v>
      </c>
      <c r="I25">
        <v>313.18</v>
      </c>
      <c r="J25">
        <v>321.11</v>
      </c>
      <c r="K25" s="65">
        <v>281.05</v>
      </c>
      <c r="L25" s="66">
        <v>219.56</v>
      </c>
      <c r="M25" s="73">
        <v>220.4</v>
      </c>
      <c r="N25" s="36"/>
      <c r="O25" s="36">
        <v>225.2204812055827</v>
      </c>
      <c r="P25" s="36">
        <v>179.87413305933728</v>
      </c>
      <c r="Q25" s="36">
        <v>183.36758284099668</v>
      </c>
      <c r="R25" s="63">
        <v>412.01779277551958</v>
      </c>
      <c r="S25" s="64">
        <v>400.67489838177778</v>
      </c>
      <c r="T25" s="72">
        <v>380.4586241276171</v>
      </c>
      <c r="U25" s="36">
        <v>148.86533293520455</v>
      </c>
      <c r="V25" s="36">
        <v>116.89310241863244</v>
      </c>
      <c r="W25" s="36">
        <v>119.85294117647061</v>
      </c>
      <c r="X25" s="63">
        <v>254.09095018533586</v>
      </c>
      <c r="Y25" s="64">
        <v>198.49923153421932</v>
      </c>
      <c r="Z25" s="72">
        <v>199.25865654099991</v>
      </c>
      <c r="AA25" s="36"/>
      <c r="AB25">
        <v>9727.3799999999992</v>
      </c>
      <c r="AC25">
        <v>7111.64</v>
      </c>
      <c r="AD25">
        <v>7719.98</v>
      </c>
      <c r="AE25">
        <v>14142.97</v>
      </c>
      <c r="AF25">
        <v>18007.82</v>
      </c>
      <c r="AG25">
        <v>17413.64</v>
      </c>
      <c r="AH25">
        <v>6487.4</v>
      </c>
      <c r="AI25">
        <v>5101.0200000000004</v>
      </c>
      <c r="AJ25">
        <v>6286.37</v>
      </c>
      <c r="AK25" s="36"/>
      <c r="AL25" s="36">
        <v>1.1118594084869267E-2</v>
      </c>
      <c r="AM25" s="36">
        <v>8.1287498214030578E-3</v>
      </c>
      <c r="AN25" s="36">
        <v>8.8240948706958134E-3</v>
      </c>
      <c r="AO25" s="36">
        <v>2.8628334885227317E-2</v>
      </c>
      <c r="AP25" s="36">
        <v>3.6451601149751024E-2</v>
      </c>
      <c r="AQ25" s="36">
        <v>3.524885632160641E-2</v>
      </c>
      <c r="AR25" s="36">
        <v>4.7327166984432907E-3</v>
      </c>
      <c r="AS25" s="36">
        <v>3.7213186381436628E-3</v>
      </c>
      <c r="AT25" s="36">
        <v>4.586060405030205E-3</v>
      </c>
      <c r="AU25" s="2"/>
      <c r="AV25" s="3">
        <v>10.6889562</v>
      </c>
      <c r="AW25" s="3">
        <v>9.0728591600000001</v>
      </c>
      <c r="AX25" s="3">
        <v>9.9940163700000006</v>
      </c>
      <c r="AY25" s="3">
        <v>27.522096399999999</v>
      </c>
      <c r="AZ25" s="3">
        <v>40.685253000000003</v>
      </c>
      <c r="BA25" s="3">
        <v>39.9222416</v>
      </c>
      <c r="BB25" s="3">
        <v>4.5498379800000004</v>
      </c>
      <c r="BC25" s="3">
        <v>4.1535292200000002</v>
      </c>
      <c r="BD25" s="3">
        <v>5.1940922499999997</v>
      </c>
      <c r="BF25" s="5">
        <v>9.9186105766666675</v>
      </c>
      <c r="BG25" s="5">
        <v>36.043196999999999</v>
      </c>
      <c r="BH25" s="5">
        <v>4.6324864833333335</v>
      </c>
      <c r="BI25" s="5">
        <v>50.594294059999996</v>
      </c>
      <c r="BJ25" s="5"/>
      <c r="BK25" s="5">
        <v>19.604207867598948</v>
      </c>
      <c r="BL25" s="5">
        <v>71.239648007058292</v>
      </c>
      <c r="BM25" s="5">
        <v>9.1561441253427667</v>
      </c>
    </row>
    <row r="26" spans="1:65" x14ac:dyDescent="0.2">
      <c r="A26" s="2" t="s">
        <v>27</v>
      </c>
      <c r="B26">
        <v>960.62</v>
      </c>
      <c r="C26">
        <v>963.47</v>
      </c>
      <c r="D26">
        <v>698.9</v>
      </c>
      <c r="E26" s="65">
        <v>832.46</v>
      </c>
      <c r="F26" s="66">
        <v>831.96</v>
      </c>
      <c r="G26" s="73">
        <v>606.94000000000005</v>
      </c>
      <c r="H26">
        <v>691.65</v>
      </c>
      <c r="I26">
        <v>699.41</v>
      </c>
      <c r="J26">
        <v>505.57</v>
      </c>
      <c r="K26" s="65">
        <v>524.12</v>
      </c>
      <c r="L26" s="66">
        <v>519.37</v>
      </c>
      <c r="M26" s="73">
        <v>369.11</v>
      </c>
      <c r="N26" s="36"/>
      <c r="O26" s="36">
        <v>411.2595256443189</v>
      </c>
      <c r="P26" s="36">
        <v>412.47966435482493</v>
      </c>
      <c r="Q26" s="36">
        <v>299.21226132374346</v>
      </c>
      <c r="R26" s="63">
        <v>638.43853056215971</v>
      </c>
      <c r="S26" s="64">
        <v>638.05506557251317</v>
      </c>
      <c r="T26" s="72">
        <v>465.48048163202702</v>
      </c>
      <c r="U26" s="36">
        <v>258.15541952821741</v>
      </c>
      <c r="V26" s="36">
        <v>261.05180650940582</v>
      </c>
      <c r="W26" s="36">
        <v>188.70185129889521</v>
      </c>
      <c r="X26" s="63">
        <v>473.84504113552117</v>
      </c>
      <c r="Y26" s="64">
        <v>469.5506735376548</v>
      </c>
      <c r="Z26" s="72">
        <v>333.70400506283335</v>
      </c>
      <c r="AA26" s="36"/>
      <c r="AB26">
        <v>10280.73</v>
      </c>
      <c r="AC26">
        <v>12608.45</v>
      </c>
      <c r="AD26">
        <v>10148.85</v>
      </c>
      <c r="AE26">
        <v>21274.36</v>
      </c>
      <c r="AF26">
        <v>23725.14</v>
      </c>
      <c r="AG26">
        <v>23886.98</v>
      </c>
      <c r="AH26">
        <v>2754.75</v>
      </c>
      <c r="AI26">
        <v>2480.9</v>
      </c>
      <c r="AJ26">
        <v>3051.63</v>
      </c>
      <c r="AK26" s="36"/>
      <c r="AL26" s="36">
        <v>1.1751084440634376E-2</v>
      </c>
      <c r="AM26" s="36">
        <v>1.4411715959422776E-2</v>
      </c>
      <c r="AN26" s="36">
        <v>1.1600342906129447E-2</v>
      </c>
      <c r="AO26" s="36">
        <v>4.3063762600704429E-2</v>
      </c>
      <c r="AP26" s="36">
        <v>4.8024654872272379E-2</v>
      </c>
      <c r="AQ26" s="36">
        <v>4.835225294522489E-2</v>
      </c>
      <c r="AR26" s="36">
        <v>2.0096573858613088E-3</v>
      </c>
      <c r="AS26" s="36">
        <v>1.8098771244517003E-3</v>
      </c>
      <c r="AT26" s="36">
        <v>2.2262385945787991E-3</v>
      </c>
      <c r="AU26" s="2"/>
      <c r="AV26" s="3">
        <v>6.5954393099999997</v>
      </c>
      <c r="AW26" s="3">
        <v>8.0913002499999997</v>
      </c>
      <c r="AX26" s="3">
        <v>9.0127849700000002</v>
      </c>
      <c r="AY26" s="3">
        <v>24.170061400000002</v>
      </c>
      <c r="AZ26" s="3">
        <v>26.962917099999999</v>
      </c>
      <c r="BA26" s="3">
        <v>37.566859999999998</v>
      </c>
      <c r="BB26" s="3">
        <v>1.1279446900000001</v>
      </c>
      <c r="BC26" s="3">
        <v>1.0161357099999999</v>
      </c>
      <c r="BD26" s="3">
        <v>1.7296566099999999</v>
      </c>
      <c r="BF26" s="5">
        <v>7.899841509999999</v>
      </c>
      <c r="BG26" s="5">
        <v>29.566612833333334</v>
      </c>
      <c r="BH26" s="5">
        <v>1.2912456700000001</v>
      </c>
      <c r="BI26" s="5">
        <v>38.757700013333334</v>
      </c>
      <c r="BJ26" s="5"/>
      <c r="BK26" s="5">
        <v>20.382637533399333</v>
      </c>
      <c r="BL26" s="5">
        <v>76.285777595579447</v>
      </c>
      <c r="BM26" s="5">
        <v>3.3315848710212133</v>
      </c>
    </row>
    <row r="27" spans="1:65" x14ac:dyDescent="0.2">
      <c r="A27" s="2" t="s">
        <v>28</v>
      </c>
      <c r="B27">
        <v>3953.23</v>
      </c>
      <c r="C27">
        <v>4440.71</v>
      </c>
      <c r="D27">
        <v>3503.29</v>
      </c>
      <c r="E27" s="65">
        <v>2049.2199999999998</v>
      </c>
      <c r="F27" s="66">
        <v>2327.2199999999998</v>
      </c>
      <c r="G27" s="73">
        <v>1908.48</v>
      </c>
      <c r="H27">
        <v>3296.08</v>
      </c>
      <c r="I27">
        <v>3743.38</v>
      </c>
      <c r="J27">
        <v>3063.92</v>
      </c>
      <c r="K27" s="65">
        <v>2582.15</v>
      </c>
      <c r="L27" s="66">
        <v>2908.3</v>
      </c>
      <c r="M27" s="73">
        <v>2394.3000000000002</v>
      </c>
      <c r="N27" s="36"/>
      <c r="O27" s="36">
        <v>1692.4522647486942</v>
      </c>
      <c r="P27" s="36">
        <v>1901.1516396951795</v>
      </c>
      <c r="Q27" s="36">
        <v>1499.8244712732255</v>
      </c>
      <c r="R27" s="63">
        <v>1571.6082521665769</v>
      </c>
      <c r="S27" s="64">
        <v>1784.8147864100006</v>
      </c>
      <c r="T27" s="72">
        <v>1463.6705268808957</v>
      </c>
      <c r="U27" s="36">
        <v>1230.247835174679</v>
      </c>
      <c r="V27" s="36">
        <v>1397.2006569125112</v>
      </c>
      <c r="W27" s="36">
        <v>1143.5951030158258</v>
      </c>
      <c r="X27" s="63">
        <v>2334.4634300696139</v>
      </c>
      <c r="Y27" s="64">
        <v>2629.3282704999547</v>
      </c>
      <c r="Z27" s="72">
        <v>2164.6324925413614</v>
      </c>
      <c r="AA27" s="36"/>
      <c r="AB27">
        <v>58399.49</v>
      </c>
      <c r="AC27">
        <v>58252.71</v>
      </c>
      <c r="AD27">
        <v>42941.97</v>
      </c>
      <c r="AE27">
        <v>42770.45</v>
      </c>
      <c r="AF27">
        <v>35371.58</v>
      </c>
      <c r="AG27">
        <v>24096.97</v>
      </c>
      <c r="AH27">
        <v>27249.24</v>
      </c>
      <c r="AI27">
        <v>31638.45</v>
      </c>
      <c r="AJ27">
        <v>29740.36</v>
      </c>
      <c r="AK27" s="36"/>
      <c r="AL27" s="36">
        <v>0.14214759138052316</v>
      </c>
      <c r="AM27" s="36">
        <v>0.14179032073547415</v>
      </c>
      <c r="AN27" s="36">
        <v>0.10452313204506897</v>
      </c>
      <c r="AO27" s="36">
        <v>0.20645795822613111</v>
      </c>
      <c r="AP27" s="36">
        <v>0.17074274846377008</v>
      </c>
      <c r="AQ27" s="36">
        <v>0.11631888899079469</v>
      </c>
      <c r="AR27" s="36">
        <v>4.2717255005751471E-2</v>
      </c>
      <c r="AS27" s="36">
        <v>4.9597997472102626E-2</v>
      </c>
      <c r="AT27" s="36">
        <v>4.6622457803698412E-2</v>
      </c>
      <c r="AU27" s="2"/>
      <c r="AV27" s="3">
        <v>20.815982099999999</v>
      </c>
      <c r="AW27" s="3">
        <v>18.384493500000001</v>
      </c>
      <c r="AX27" s="3">
        <v>16.665777299999998</v>
      </c>
      <c r="AY27" s="3">
        <v>30.233542</v>
      </c>
      <c r="AZ27" s="3">
        <v>22.138457200000001</v>
      </c>
      <c r="BA27" s="3">
        <v>18.546561499999999</v>
      </c>
      <c r="BB27" s="3">
        <v>6.2554814199999997</v>
      </c>
      <c r="BC27" s="3">
        <v>6.4308625399999997</v>
      </c>
      <c r="BD27" s="3">
        <v>7.4337563700000002</v>
      </c>
      <c r="BF27" s="5">
        <v>18.622084300000001</v>
      </c>
      <c r="BG27" s="5">
        <v>23.639520233333332</v>
      </c>
      <c r="BH27" s="5">
        <v>6.7067001099999999</v>
      </c>
      <c r="BI27" s="5">
        <v>48.968304643333333</v>
      </c>
      <c r="BJ27" s="5"/>
      <c r="BK27" s="5">
        <v>38.028852408994432</v>
      </c>
      <c r="BL27" s="5">
        <v>48.275145332301541</v>
      </c>
      <c r="BM27" s="5">
        <v>13.69600225870402</v>
      </c>
    </row>
    <row r="28" spans="1:65" x14ac:dyDescent="0.2">
      <c r="A28" s="2" t="s">
        <v>29</v>
      </c>
      <c r="B28">
        <v>85.43</v>
      </c>
      <c r="C28">
        <v>100.34</v>
      </c>
      <c r="D28">
        <v>130.55000000000001</v>
      </c>
      <c r="E28" s="65">
        <v>243.1</v>
      </c>
      <c r="F28" s="66">
        <v>232.07</v>
      </c>
      <c r="G28" s="73">
        <v>233.09</v>
      </c>
      <c r="H28">
        <v>55.16</v>
      </c>
      <c r="I28">
        <v>65.19</v>
      </c>
      <c r="J28">
        <v>87.13</v>
      </c>
      <c r="K28" s="65">
        <v>42.11</v>
      </c>
      <c r="L28" s="66">
        <v>49.75</v>
      </c>
      <c r="M28" s="73">
        <v>67.099999999999994</v>
      </c>
      <c r="N28" s="36"/>
      <c r="O28" s="36">
        <v>36.574192995975686</v>
      </c>
      <c r="P28" s="36">
        <v>42.957444986728319</v>
      </c>
      <c r="Q28" s="36">
        <v>55.890915318092311</v>
      </c>
      <c r="R28" s="63">
        <v>186.44067796610167</v>
      </c>
      <c r="S28" s="64">
        <v>177.98144029450111</v>
      </c>
      <c r="T28" s="72">
        <v>178.76370887337987</v>
      </c>
      <c r="U28" s="36">
        <v>20.588235294117649</v>
      </c>
      <c r="V28" s="36">
        <v>24.331890116452673</v>
      </c>
      <c r="W28" s="36">
        <v>32.520901761719919</v>
      </c>
      <c r="X28" s="63">
        <v>38.07069885182171</v>
      </c>
      <c r="Y28" s="64">
        <v>44.977850103968898</v>
      </c>
      <c r="Z28" s="72">
        <v>60.66359280354397</v>
      </c>
      <c r="AA28" s="36"/>
      <c r="AB28">
        <v>1271.49</v>
      </c>
      <c r="AC28">
        <v>1036.49</v>
      </c>
      <c r="AD28">
        <v>1404.72</v>
      </c>
      <c r="AE28">
        <v>4757.05</v>
      </c>
      <c r="AF28">
        <v>6107.93</v>
      </c>
      <c r="AG28">
        <v>5702.69</v>
      </c>
      <c r="AH28">
        <v>940.63</v>
      </c>
      <c r="AI28">
        <f>254.9+224.22</f>
        <v>479.12</v>
      </c>
      <c r="AJ28">
        <f>356.51+326.67+174.42</f>
        <v>857.6</v>
      </c>
      <c r="AK28" s="36"/>
      <c r="AL28" s="36">
        <v>1.4533390484354908E-3</v>
      </c>
      <c r="AM28" s="36">
        <v>1.1847292470352907E-3</v>
      </c>
      <c r="AN28" s="36">
        <v>1.605623660522932E-3</v>
      </c>
      <c r="AO28" s="36">
        <v>9.6292660216185585E-3</v>
      </c>
      <c r="AP28" s="36">
        <v>1.2363730213351687E-2</v>
      </c>
      <c r="AQ28" s="36">
        <v>1.1543439536860855E-2</v>
      </c>
      <c r="AR28" s="36">
        <v>6.8621255172437534E-4</v>
      </c>
      <c r="AS28" s="36">
        <v>3.4952973834789742E-4</v>
      </c>
      <c r="AT28" s="36">
        <v>6.2564013943721157E-4</v>
      </c>
      <c r="AU28" s="2"/>
      <c r="AV28" s="3">
        <v>5.1596528399999997</v>
      </c>
      <c r="AW28" s="3">
        <v>4.0817738400000003</v>
      </c>
      <c r="AX28" s="3">
        <v>4.8975963199999999</v>
      </c>
      <c r="AY28" s="3">
        <v>34.185876899999997</v>
      </c>
      <c r="AZ28" s="3">
        <v>42.597032800000001</v>
      </c>
      <c r="BA28" s="3">
        <v>35.210683799999998</v>
      </c>
      <c r="BB28" s="3">
        <v>2.4361958399999999</v>
      </c>
      <c r="BC28" s="3">
        <v>1.2042425299999999</v>
      </c>
      <c r="BD28" s="3">
        <v>1.9083754900000001</v>
      </c>
      <c r="BF28" s="5">
        <v>4.7130076666666669</v>
      </c>
      <c r="BG28" s="5">
        <v>37.331197833333334</v>
      </c>
      <c r="BH28" s="5">
        <v>1.84960462</v>
      </c>
      <c r="BI28" s="5">
        <v>43.893810120000005</v>
      </c>
      <c r="BJ28" s="5"/>
      <c r="BK28" s="5">
        <v>10.73729451551805</v>
      </c>
      <c r="BL28" s="5">
        <v>85.048888969252531</v>
      </c>
      <c r="BM28" s="5">
        <v>4.2138165152294143</v>
      </c>
    </row>
    <row r="29" spans="1:65" x14ac:dyDescent="0.2">
      <c r="A29" s="2" t="s">
        <v>30</v>
      </c>
      <c r="B29">
        <v>4449.21</v>
      </c>
      <c r="C29">
        <v>6862.57</v>
      </c>
      <c r="D29">
        <v>3186.45</v>
      </c>
      <c r="E29" s="65">
        <v>2786.94</v>
      </c>
      <c r="F29" s="66">
        <v>3615.08</v>
      </c>
      <c r="G29" s="73">
        <v>1951.73</v>
      </c>
      <c r="H29">
        <v>4521.33</v>
      </c>
      <c r="I29">
        <v>5820.38</v>
      </c>
      <c r="J29">
        <v>3148.61</v>
      </c>
      <c r="K29" s="65">
        <v>3473.68</v>
      </c>
      <c r="L29" s="66">
        <v>4505.91</v>
      </c>
      <c r="M29" s="73">
        <v>2470.4699999999998</v>
      </c>
      <c r="N29" s="36"/>
      <c r="O29" s="36">
        <v>1904.7906498844081</v>
      </c>
      <c r="P29" s="36">
        <v>2937.9955475640036</v>
      </c>
      <c r="Q29" s="36">
        <v>1364.1792961726176</v>
      </c>
      <c r="R29" s="63">
        <v>2137.3878364905286</v>
      </c>
      <c r="S29" s="64">
        <v>2772.5132295421427</v>
      </c>
      <c r="T29" s="72">
        <v>1496.8402484853132</v>
      </c>
      <c r="U29" s="36">
        <v>1687.5671842340998</v>
      </c>
      <c r="V29" s="36">
        <v>2172.4320692744104</v>
      </c>
      <c r="W29" s="36">
        <v>1175.2052851597493</v>
      </c>
      <c r="X29" s="63">
        <v>3140.4755447066264</v>
      </c>
      <c r="Y29" s="64">
        <v>4073.6913479793866</v>
      </c>
      <c r="Z29" s="72">
        <v>2233.4960672633574</v>
      </c>
      <c r="AA29" s="36"/>
      <c r="AB29">
        <v>54356.34</v>
      </c>
      <c r="AC29">
        <v>65880.649999999994</v>
      </c>
      <c r="AD29">
        <v>40442.379999999997</v>
      </c>
      <c r="AE29" s="21">
        <v>61253.78</v>
      </c>
      <c r="AF29">
        <v>107890.13</v>
      </c>
      <c r="AG29">
        <v>27990.04</v>
      </c>
      <c r="AH29">
        <v>43678.22</v>
      </c>
      <c r="AI29">
        <v>60092.14</v>
      </c>
      <c r="AJ29">
        <v>37044.39</v>
      </c>
      <c r="AK29" s="36"/>
      <c r="AL29" s="36">
        <v>0.13230634047079498</v>
      </c>
      <c r="AM29" s="36">
        <v>0.16035714894228123</v>
      </c>
      <c r="AN29" s="36">
        <v>9.8438991619547403E-2</v>
      </c>
      <c r="AO29" s="36">
        <v>0.29567915119977989</v>
      </c>
      <c r="AP29" s="36">
        <v>0.52079826030710119</v>
      </c>
      <c r="AQ29" s="36">
        <v>0.13511119263575061</v>
      </c>
      <c r="AR29" s="36">
        <v>6.8472135807725792E-2</v>
      </c>
      <c r="AS29" s="36">
        <v>9.4203407809587289E-2</v>
      </c>
      <c r="AT29" s="36">
        <v>5.8072616122963786E-2</v>
      </c>
      <c r="AU29" s="2"/>
      <c r="AV29" s="3">
        <v>14.9157881</v>
      </c>
      <c r="AW29" s="3">
        <v>13.4115649</v>
      </c>
      <c r="AX29" s="3">
        <v>15.7006976</v>
      </c>
      <c r="AY29" s="3">
        <v>33.333909499999997</v>
      </c>
      <c r="AZ29" s="3">
        <v>43.557270299999999</v>
      </c>
      <c r="BA29" s="3">
        <v>21.5497938</v>
      </c>
      <c r="BB29" s="3">
        <v>7.7193267399999996</v>
      </c>
      <c r="BC29" s="3">
        <v>7.8787576899999996</v>
      </c>
      <c r="BD29" s="3">
        <v>9.2623925499999995</v>
      </c>
      <c r="BF29" s="5">
        <v>14.676016866666666</v>
      </c>
      <c r="BG29" s="5">
        <v>32.813657866666667</v>
      </c>
      <c r="BH29" s="5">
        <v>8.2868256599999999</v>
      </c>
      <c r="BI29" s="5">
        <v>55.776500393333329</v>
      </c>
      <c r="BJ29" s="5"/>
      <c r="BK29" s="5">
        <v>26.312186607571409</v>
      </c>
      <c r="BL29" s="5">
        <v>58.83061439005003</v>
      </c>
      <c r="BM29" s="5">
        <v>14.857199002378572</v>
      </c>
    </row>
    <row r="30" spans="1:65" x14ac:dyDescent="0.2">
      <c r="A30" s="2" t="s">
        <v>31</v>
      </c>
      <c r="B30">
        <v>618.47</v>
      </c>
      <c r="C30">
        <v>1053.33</v>
      </c>
      <c r="D30">
        <v>828.97</v>
      </c>
      <c r="E30" s="65">
        <v>574.29999999999995</v>
      </c>
      <c r="F30" s="66">
        <v>792.27</v>
      </c>
      <c r="G30" s="73">
        <v>673.36</v>
      </c>
      <c r="H30">
        <v>441.28</v>
      </c>
      <c r="I30">
        <v>772.26</v>
      </c>
      <c r="J30">
        <v>599.89</v>
      </c>
      <c r="K30" s="65">
        <v>333.63</v>
      </c>
      <c r="L30" s="66">
        <v>616.08000000000004</v>
      </c>
      <c r="M30" s="73">
        <v>467.56</v>
      </c>
      <c r="N30" s="36"/>
      <c r="O30" s="36">
        <v>264.77866255672575</v>
      </c>
      <c r="P30" s="36">
        <v>450.95042383765735</v>
      </c>
      <c r="Q30" s="36">
        <v>354.89767959585583</v>
      </c>
      <c r="R30" s="63">
        <v>440.44788710790698</v>
      </c>
      <c r="S30" s="64">
        <v>607.61561469437834</v>
      </c>
      <c r="T30" s="72">
        <v>516.41997085666083</v>
      </c>
      <c r="U30" s="36">
        <v>164.70588235294119</v>
      </c>
      <c r="V30" s="36">
        <v>288.24275903254704</v>
      </c>
      <c r="W30" s="36">
        <v>223.90638996715438</v>
      </c>
      <c r="X30" s="63">
        <v>301.62733930024405</v>
      </c>
      <c r="Y30" s="64">
        <v>556.98399783021421</v>
      </c>
      <c r="Z30" s="72">
        <v>422.71042401229545</v>
      </c>
      <c r="AA30" s="36"/>
      <c r="AB30">
        <v>13526</v>
      </c>
      <c r="AC30">
        <v>28577</v>
      </c>
      <c r="AD30">
        <v>21105</v>
      </c>
      <c r="AE30">
        <v>13719</v>
      </c>
      <c r="AF30">
        <v>11669</v>
      </c>
      <c r="AG30">
        <v>12506</v>
      </c>
      <c r="AH30">
        <v>2575</v>
      </c>
      <c r="AI30">
        <v>2345</v>
      </c>
      <c r="AJ30">
        <v>2572</v>
      </c>
      <c r="AK30" s="36"/>
      <c r="AL30" s="36">
        <v>1.546049435633662E-2</v>
      </c>
      <c r="AM30" s="36">
        <v>3.2664094870695812E-2</v>
      </c>
      <c r="AN30" s="36">
        <v>2.4123446206600944E-2</v>
      </c>
      <c r="AO30" s="36">
        <v>2.7770130763936682E-2</v>
      </c>
      <c r="AP30" s="36">
        <v>2.3620501194283633E-2</v>
      </c>
      <c r="AQ30" s="36">
        <v>2.5314764584429779E-2</v>
      </c>
      <c r="AR30" s="36">
        <v>1.8785253720275418E-3</v>
      </c>
      <c r="AS30" s="36">
        <v>1.7107347562736253E-3</v>
      </c>
      <c r="AT30" s="36">
        <v>1.8763367987785777E-3</v>
      </c>
      <c r="AU30" s="2"/>
      <c r="AV30" s="3">
        <v>13.196505</v>
      </c>
      <c r="AW30" s="3">
        <v>17.157379200000001</v>
      </c>
      <c r="AX30" s="3">
        <v>15.892284399999999</v>
      </c>
      <c r="AY30" s="3">
        <v>23.703554400000002</v>
      </c>
      <c r="AZ30" s="3">
        <v>12.407075600000001</v>
      </c>
      <c r="BA30" s="3">
        <v>16.677112999999999</v>
      </c>
      <c r="BB30" s="3">
        <v>1.60343963</v>
      </c>
      <c r="BC30" s="3">
        <v>0.89859294000000001</v>
      </c>
      <c r="BD30" s="3">
        <v>1.2361118600000001</v>
      </c>
      <c r="BF30" s="5">
        <v>15.415389533333334</v>
      </c>
      <c r="BG30" s="5">
        <v>17.595914333333333</v>
      </c>
      <c r="BH30" s="5">
        <v>1.2460481433333335</v>
      </c>
      <c r="BI30" s="5">
        <v>34.257352009999998</v>
      </c>
      <c r="BJ30" s="5"/>
      <c r="BK30" s="5">
        <v>44.998777280956972</v>
      </c>
      <c r="BL30" s="5">
        <v>51.363906726348674</v>
      </c>
      <c r="BM30" s="5">
        <v>3.6373159926943623</v>
      </c>
    </row>
    <row r="31" spans="1:65" x14ac:dyDescent="0.2">
      <c r="A31" s="2" t="s">
        <v>32</v>
      </c>
      <c r="B31">
        <v>3915.03</v>
      </c>
      <c r="C31">
        <v>3347.74</v>
      </c>
      <c r="D31">
        <v>2569.11</v>
      </c>
      <c r="E31" s="65">
        <v>1932.23</v>
      </c>
      <c r="F31" s="66">
        <v>1701.33</v>
      </c>
      <c r="G31" s="73">
        <v>1290.71</v>
      </c>
      <c r="H31">
        <v>3109.11</v>
      </c>
      <c r="I31">
        <v>2734.7</v>
      </c>
      <c r="J31">
        <v>2072.9</v>
      </c>
      <c r="K31" s="65">
        <v>2527.5700000000002</v>
      </c>
      <c r="L31" s="66">
        <v>2146.41</v>
      </c>
      <c r="M31" s="73">
        <v>1668.2</v>
      </c>
      <c r="N31" s="36"/>
      <c r="O31" s="36">
        <v>1676.0981248394555</v>
      </c>
      <c r="P31" s="36">
        <v>1433.2305848103433</v>
      </c>
      <c r="Q31" s="36">
        <v>1099.8844079116363</v>
      </c>
      <c r="R31" s="63">
        <v>1481.8851138891018</v>
      </c>
      <c r="S31" s="64">
        <v>1304.8009816703734</v>
      </c>
      <c r="T31" s="72">
        <v>989.88419357312671</v>
      </c>
      <c r="U31" s="36">
        <v>1160.4620782323084</v>
      </c>
      <c r="V31" s="36">
        <v>1020.7151388474172</v>
      </c>
      <c r="W31" s="36">
        <v>773.70110480740527</v>
      </c>
      <c r="X31" s="63">
        <v>2285.1188861766568</v>
      </c>
      <c r="Y31" s="64">
        <v>1940.5207485760777</v>
      </c>
      <c r="Z31" s="72">
        <v>1508.1819003706717</v>
      </c>
      <c r="AA31" s="36"/>
      <c r="AB31">
        <v>31083</v>
      </c>
      <c r="AC31">
        <v>24647</v>
      </c>
      <c r="AD31">
        <v>18603.23</v>
      </c>
      <c r="AE31">
        <v>24927</v>
      </c>
      <c r="AF31">
        <v>19175</v>
      </c>
      <c r="AG31">
        <v>17616.310000000001</v>
      </c>
      <c r="AH31">
        <v>16076</v>
      </c>
      <c r="AI31">
        <v>12549</v>
      </c>
      <c r="AJ31">
        <v>10676.53</v>
      </c>
      <c r="AK31" s="36"/>
      <c r="AL31" s="36">
        <v>7.56577426083824E-2</v>
      </c>
      <c r="AM31" s="36">
        <v>5.9992162341755979E-2</v>
      </c>
      <c r="AN31" s="36">
        <v>4.5281291607133727E-2</v>
      </c>
      <c r="AO31" s="36">
        <v>0.12032554075776079</v>
      </c>
      <c r="AP31" s="36">
        <v>9.2559964858589611E-2</v>
      </c>
      <c r="AQ31" s="36">
        <v>8.5035986155828996E-2</v>
      </c>
      <c r="AR31" s="36">
        <v>2.5201531913273935E-2</v>
      </c>
      <c r="AS31" s="36">
        <v>1.9672432444617728E-2</v>
      </c>
      <c r="AT31" s="36">
        <v>1.6737055954094714E-2</v>
      </c>
      <c r="AU31" s="2"/>
      <c r="AV31" s="3">
        <v>11.4571071</v>
      </c>
      <c r="AW31" s="3">
        <v>10.526293600000001</v>
      </c>
      <c r="AX31" s="3">
        <v>10.3579369</v>
      </c>
      <c r="AY31" s="3">
        <v>18.2213025</v>
      </c>
      <c r="AZ31" s="3">
        <v>16.2406775</v>
      </c>
      <c r="BA31" s="3">
        <v>19.451684100000001</v>
      </c>
      <c r="BB31" s="3">
        <v>3.81635298</v>
      </c>
      <c r="BC31" s="3">
        <v>3.4517475499999999</v>
      </c>
      <c r="BD31" s="3">
        <v>3.8285429500000001</v>
      </c>
      <c r="BF31" s="5">
        <v>10.780445866666668</v>
      </c>
      <c r="BG31" s="5">
        <v>17.971221366666665</v>
      </c>
      <c r="BH31" s="5">
        <v>3.6988811600000004</v>
      </c>
      <c r="BI31" s="5">
        <v>32.450548393333335</v>
      </c>
      <c r="BJ31" s="5"/>
      <c r="BK31" s="5">
        <v>33.221151568832688</v>
      </c>
      <c r="BL31" s="5">
        <v>55.380331786191583</v>
      </c>
      <c r="BM31" s="5">
        <v>11.398516644975718</v>
      </c>
    </row>
    <row r="32" spans="1:65" x14ac:dyDescent="0.2">
      <c r="A32" s="2" t="s">
        <v>33</v>
      </c>
      <c r="B32">
        <v>3135.08</v>
      </c>
      <c r="C32">
        <v>2483.9899999999998</v>
      </c>
      <c r="D32">
        <v>2862.34</v>
      </c>
      <c r="E32" s="65">
        <v>1619.5</v>
      </c>
      <c r="F32" s="66">
        <v>1292.04</v>
      </c>
      <c r="G32" s="73">
        <v>1510.65</v>
      </c>
      <c r="H32">
        <v>2599.88</v>
      </c>
      <c r="I32">
        <v>2073.11</v>
      </c>
      <c r="J32">
        <v>2429.87</v>
      </c>
      <c r="K32" s="65">
        <v>2023.68</v>
      </c>
      <c r="L32" s="66">
        <v>1592.01</v>
      </c>
      <c r="M32" s="73">
        <v>1856.78</v>
      </c>
      <c r="N32" s="36"/>
      <c r="O32" s="36">
        <v>1342.1868310643035</v>
      </c>
      <c r="P32" s="36">
        <v>1063.4429317578558</v>
      </c>
      <c r="Q32" s="36">
        <v>1225.4216970631048</v>
      </c>
      <c r="R32" s="63">
        <v>1242.0431014648361</v>
      </c>
      <c r="S32" s="64">
        <v>990.90421044558627</v>
      </c>
      <c r="T32" s="72">
        <v>1158.5627732188052</v>
      </c>
      <c r="U32" s="36">
        <v>970.39414750671858</v>
      </c>
      <c r="V32" s="36">
        <v>773.77948641385501</v>
      </c>
      <c r="W32" s="36">
        <v>906.93863839952223</v>
      </c>
      <c r="X32" s="63">
        <v>1829.5633306211012</v>
      </c>
      <c r="Y32" s="64">
        <v>1439.3002441008948</v>
      </c>
      <c r="Z32" s="72">
        <v>1678.672814392912</v>
      </c>
      <c r="AA32" s="36"/>
      <c r="AB32">
        <v>25908.27</v>
      </c>
      <c r="AC32">
        <v>18363.490000000002</v>
      </c>
      <c r="AD32">
        <v>24812.49</v>
      </c>
      <c r="AE32">
        <v>17374.66</v>
      </c>
      <c r="AF32">
        <v>13637.75</v>
      </c>
      <c r="AG32">
        <v>14122.98</v>
      </c>
      <c r="AH32">
        <v>17047.36</v>
      </c>
      <c r="AI32">
        <v>10697.66</v>
      </c>
      <c r="AJ32">
        <v>13605.05</v>
      </c>
      <c r="AK32" s="36"/>
      <c r="AL32" s="36">
        <v>6.3062163339718674E-2</v>
      </c>
      <c r="AM32" s="36">
        <v>4.4697751176257253E-2</v>
      </c>
      <c r="AN32" s="36">
        <v>6.0394974162502404E-2</v>
      </c>
      <c r="AO32" s="36">
        <v>8.3869513378354243E-2</v>
      </c>
      <c r="AP32" s="36">
        <v>6.5831012294666522E-2</v>
      </c>
      <c r="AQ32" s="36">
        <v>6.8173274185061999E-2</v>
      </c>
      <c r="AR32" s="36">
        <v>2.6724283844057575E-2</v>
      </c>
      <c r="AS32" s="36">
        <v>1.677018038612553E-2</v>
      </c>
      <c r="AT32" s="36">
        <v>2.132794860392433E-2</v>
      </c>
      <c r="AU32" s="2"/>
      <c r="AV32" s="3">
        <v>11.7124755</v>
      </c>
      <c r="AW32" s="3">
        <v>10.4741692</v>
      </c>
      <c r="AX32" s="3">
        <v>12.1528943</v>
      </c>
      <c r="AY32" s="3">
        <v>15.577004799999999</v>
      </c>
      <c r="AZ32" s="3">
        <v>15.4263949</v>
      </c>
      <c r="BA32" s="3">
        <v>13.7180719</v>
      </c>
      <c r="BB32" s="3">
        <v>4.9634757900000004</v>
      </c>
      <c r="BC32" s="3">
        <v>3.92981084</v>
      </c>
      <c r="BD32" s="3">
        <v>4.2916866799999998</v>
      </c>
      <c r="BF32" s="5">
        <v>11.446513000000001</v>
      </c>
      <c r="BG32" s="5">
        <v>14.9071572</v>
      </c>
      <c r="BH32" s="5">
        <v>4.3949911033333331</v>
      </c>
      <c r="BI32" s="5">
        <v>30.748661303333336</v>
      </c>
      <c r="BJ32" s="5"/>
      <c r="BK32" s="5">
        <v>37.226053151000535</v>
      </c>
      <c r="BL32" s="5">
        <v>48.480670598768398</v>
      </c>
      <c r="BM32" s="5">
        <v>14.293276250231063</v>
      </c>
    </row>
    <row r="33" spans="1:65" x14ac:dyDescent="0.2">
      <c r="A33" s="2" t="s">
        <v>34</v>
      </c>
      <c r="B33">
        <v>1959.58</v>
      </c>
      <c r="C33">
        <v>2890.45</v>
      </c>
      <c r="D33">
        <v>77.650000000000006</v>
      </c>
      <c r="E33" s="65">
        <v>1238.74</v>
      </c>
      <c r="F33" s="66">
        <v>1635.13</v>
      </c>
      <c r="G33" s="73">
        <v>61.68</v>
      </c>
      <c r="H33">
        <v>1991.01</v>
      </c>
      <c r="I33">
        <v>2616.58</v>
      </c>
      <c r="J33">
        <v>83.26</v>
      </c>
      <c r="K33" s="65">
        <v>1525.23</v>
      </c>
      <c r="L33" s="66">
        <v>1939.18</v>
      </c>
      <c r="M33" s="73">
        <v>61.19</v>
      </c>
      <c r="N33" s="36"/>
      <c r="O33" s="36">
        <v>838.93312783628733</v>
      </c>
      <c r="P33" s="36">
        <v>1237.4561178183064</v>
      </c>
      <c r="Q33" s="36">
        <v>33.243428375717102</v>
      </c>
      <c r="R33" s="63">
        <v>950.02684254927522</v>
      </c>
      <c r="S33" s="64">
        <v>1254.0302170411842</v>
      </c>
      <c r="T33" s="72">
        <v>47.304241122785484</v>
      </c>
      <c r="U33" s="36">
        <v>743.13601074947746</v>
      </c>
      <c r="V33" s="36">
        <v>976.62735144819351</v>
      </c>
      <c r="W33" s="36">
        <v>31.076440728575697</v>
      </c>
      <c r="X33" s="63">
        <v>1378.9259560618389</v>
      </c>
      <c r="Y33" s="64">
        <v>1753.1687912485309</v>
      </c>
      <c r="Z33" s="72">
        <v>55.320495434409182</v>
      </c>
      <c r="AA33" s="36"/>
      <c r="AB33">
        <v>17504.099999999999</v>
      </c>
      <c r="AC33">
        <v>23150.54</v>
      </c>
      <c r="AD33">
        <v>524.21</v>
      </c>
      <c r="AE33">
        <v>14374.24</v>
      </c>
      <c r="AF33">
        <v>28647.5</v>
      </c>
      <c r="AG33">
        <v>2685.12</v>
      </c>
      <c r="AH33">
        <v>12994.81</v>
      </c>
      <c r="AI33">
        <v>16126.3</v>
      </c>
      <c r="AJ33">
        <v>554.76</v>
      </c>
      <c r="AK33" s="36"/>
      <c r="AL33" s="36">
        <v>4.260594834447725E-2</v>
      </c>
      <c r="AM33" s="36">
        <v>5.6349695864783361E-2</v>
      </c>
      <c r="AN33" s="36">
        <v>1.2759561577949407E-3</v>
      </c>
      <c r="AO33" s="36">
        <v>6.9386135555094292E-2</v>
      </c>
      <c r="AP33" s="36">
        <v>0.13828482885457344</v>
      </c>
      <c r="AQ33" s="36">
        <v>1.2961387892625614E-2</v>
      </c>
      <c r="AR33" s="36">
        <v>2.0371306228037525E-2</v>
      </c>
      <c r="AS33" s="36">
        <v>2.5280384678591034E-2</v>
      </c>
      <c r="AT33" s="36">
        <v>8.6966918662651459E-4</v>
      </c>
      <c r="AU33" s="2"/>
      <c r="AV33" s="3">
        <v>10.8938147</v>
      </c>
      <c r="AW33" s="3">
        <v>10.792309400000001</v>
      </c>
      <c r="AX33" s="3">
        <v>7.6429912299999998</v>
      </c>
      <c r="AY33" s="3">
        <v>17.741177799999999</v>
      </c>
      <c r="AZ33" s="3">
        <v>26.484839600000001</v>
      </c>
      <c r="BA33" s="3">
        <v>77.638854199999997</v>
      </c>
      <c r="BB33" s="3">
        <v>5.2086913700000004</v>
      </c>
      <c r="BC33" s="3">
        <v>4.8417960100000004</v>
      </c>
      <c r="BD33" s="3">
        <v>5.2093278700000001</v>
      </c>
      <c r="BF33" s="5">
        <v>9.7763717766666662</v>
      </c>
      <c r="BG33" s="5">
        <v>40.621623866666667</v>
      </c>
      <c r="BH33" s="5">
        <v>5.0866050833333327</v>
      </c>
      <c r="BI33" s="5">
        <v>55.484600726666663</v>
      </c>
      <c r="BJ33" s="5"/>
      <c r="BK33" s="5">
        <v>17.619973197298343</v>
      </c>
      <c r="BL33" s="5">
        <v>73.212428916593709</v>
      </c>
      <c r="BM33" s="5">
        <v>9.1675978861079557</v>
      </c>
    </row>
    <row r="34" spans="1:65" x14ac:dyDescent="0.2">
      <c r="A34" s="2" t="s">
        <v>35</v>
      </c>
      <c r="B34">
        <v>2559.34</v>
      </c>
      <c r="C34">
        <v>2318.31</v>
      </c>
      <c r="D34">
        <v>2661.19</v>
      </c>
      <c r="E34" s="65">
        <v>1336.06</v>
      </c>
      <c r="F34" s="66">
        <v>1274.67</v>
      </c>
      <c r="G34" s="73">
        <v>1400.35</v>
      </c>
      <c r="H34">
        <v>2141.61</v>
      </c>
      <c r="I34">
        <v>2051.89</v>
      </c>
      <c r="J34">
        <v>2252.13</v>
      </c>
      <c r="K34" s="65">
        <v>1603.88</v>
      </c>
      <c r="L34" s="66">
        <v>1548.74</v>
      </c>
      <c r="M34" s="73">
        <v>1728.11</v>
      </c>
      <c r="N34" s="36"/>
      <c r="O34" s="36">
        <v>1095.7016867882526</v>
      </c>
      <c r="P34" s="36">
        <v>992.51220138710505</v>
      </c>
      <c r="Q34" s="36">
        <v>1139.3055912321261</v>
      </c>
      <c r="R34" s="63">
        <v>1024.6644681340592</v>
      </c>
      <c r="S34" s="64">
        <v>977.58263670526878</v>
      </c>
      <c r="T34" s="72">
        <v>1073.9703965027991</v>
      </c>
      <c r="U34" s="36">
        <v>799.34681994625271</v>
      </c>
      <c r="V34" s="36">
        <v>765.85921170498659</v>
      </c>
      <c r="W34" s="36">
        <v>840.59793968348777</v>
      </c>
      <c r="X34" s="63">
        <v>1450.0316427086159</v>
      </c>
      <c r="Y34" s="64">
        <v>1400.1808154778048</v>
      </c>
      <c r="Z34" s="72">
        <v>1562.3451767471292</v>
      </c>
      <c r="AA34" s="36"/>
      <c r="AB34">
        <v>5483.11</v>
      </c>
      <c r="AC34">
        <v>5384.8</v>
      </c>
      <c r="AD34">
        <v>6797.7</v>
      </c>
      <c r="AE34" s="21">
        <v>20446.09</v>
      </c>
      <c r="AF34" s="21">
        <v>14239.27</v>
      </c>
      <c r="AG34">
        <v>14416.4</v>
      </c>
      <c r="AH34">
        <v>8321.18</v>
      </c>
      <c r="AI34">
        <v>7735.34</v>
      </c>
      <c r="AJ34">
        <v>7155.07</v>
      </c>
      <c r="AK34" s="36"/>
      <c r="AL34" s="36">
        <v>1.3346193259127098E-2</v>
      </c>
      <c r="AM34" s="36">
        <v>1.3106901277148846E-2</v>
      </c>
      <c r="AN34" s="36">
        <v>1.654597808863369E-2</v>
      </c>
      <c r="AO34" s="36">
        <v>9.8695664766391689E-2</v>
      </c>
      <c r="AP34" s="36">
        <v>6.8734619599059674E-2</v>
      </c>
      <c r="AQ34" s="36">
        <v>6.9589646799862903E-2</v>
      </c>
      <c r="AR34" s="36">
        <v>2.608938583305509E-2</v>
      </c>
      <c r="AS34" s="36">
        <v>2.4252602372483754E-2</v>
      </c>
      <c r="AT34" s="36">
        <v>2.243328252633851E-2</v>
      </c>
      <c r="AU34" s="2"/>
      <c r="AV34" s="3">
        <v>3.05422729</v>
      </c>
      <c r="AW34" s="3">
        <v>3.16887667</v>
      </c>
      <c r="AX34" s="3">
        <v>3.58431385</v>
      </c>
      <c r="AY34" s="3">
        <v>22.586140199999999</v>
      </c>
      <c r="AZ34" s="3">
        <v>16.618079900000001</v>
      </c>
      <c r="BA34" s="3">
        <v>15.0750312</v>
      </c>
      <c r="BB34" s="3">
        <v>5.9704600900000004</v>
      </c>
      <c r="BC34" s="3">
        <v>5.8635908099999998</v>
      </c>
      <c r="BD34" s="3">
        <v>4.8596658899999996</v>
      </c>
      <c r="BF34" s="5">
        <v>3.2691392700000002</v>
      </c>
      <c r="BG34" s="5">
        <v>18.093083766666666</v>
      </c>
      <c r="BH34" s="5">
        <v>5.564572263333333</v>
      </c>
      <c r="BI34" s="5">
        <v>26.926795299999998</v>
      </c>
      <c r="BJ34" s="5"/>
      <c r="BK34" s="5">
        <v>12.140840503214283</v>
      </c>
      <c r="BL34" s="5">
        <v>67.193602376687835</v>
      </c>
      <c r="BM34" s="5">
        <v>20.665557120097887</v>
      </c>
    </row>
    <row r="35" spans="1:65" x14ac:dyDescent="0.2">
      <c r="A35" s="2" t="s">
        <v>36</v>
      </c>
      <c r="B35">
        <v>4807.2700000000004</v>
      </c>
      <c r="C35">
        <v>2802.65</v>
      </c>
      <c r="D35">
        <v>2315.12</v>
      </c>
      <c r="E35" s="65">
        <v>2533.4299999999998</v>
      </c>
      <c r="F35" s="66">
        <v>1632</v>
      </c>
      <c r="G35" s="73">
        <v>1333.96</v>
      </c>
      <c r="H35">
        <v>4104.3500000000004</v>
      </c>
      <c r="I35">
        <v>2632</v>
      </c>
      <c r="J35">
        <v>2155.4299999999998</v>
      </c>
      <c r="K35" s="65">
        <v>3138.62</v>
      </c>
      <c r="L35" s="66">
        <v>2102.46</v>
      </c>
      <c r="M35" s="73">
        <v>1680.85</v>
      </c>
      <c r="N35" s="36"/>
      <c r="O35" s="36">
        <v>2058.0828838085454</v>
      </c>
      <c r="P35" s="36">
        <v>1199.8672831578046</v>
      </c>
      <c r="Q35" s="36">
        <v>991.14650226902984</v>
      </c>
      <c r="R35" s="63">
        <v>1942.9634174399876</v>
      </c>
      <c r="S35" s="64">
        <v>1251.6297262059973</v>
      </c>
      <c r="T35" s="72">
        <v>1023.0539151775442</v>
      </c>
      <c r="U35" s="36">
        <v>1531.9311734846226</v>
      </c>
      <c r="V35" s="36">
        <v>982.38280083607049</v>
      </c>
      <c r="W35" s="36">
        <v>804.505076142132</v>
      </c>
      <c r="X35" s="63">
        <v>2837.5553747400772</v>
      </c>
      <c r="Y35" s="64">
        <v>1900.7865473284512</v>
      </c>
      <c r="Z35" s="72">
        <v>1519.6184793418315</v>
      </c>
      <c r="AA35" s="36"/>
      <c r="AB35">
        <v>75422</v>
      </c>
      <c r="AC35">
        <v>46216</v>
      </c>
      <c r="AD35">
        <v>39427</v>
      </c>
      <c r="AE35" s="21">
        <v>81277</v>
      </c>
      <c r="AF35">
        <v>28196</v>
      </c>
      <c r="AG35">
        <v>24744</v>
      </c>
      <c r="AH35">
        <v>49342</v>
      </c>
      <c r="AI35">
        <v>30737</v>
      </c>
      <c r="AJ35">
        <v>25277</v>
      </c>
      <c r="AK35" s="36"/>
      <c r="AL35" s="36">
        <v>0.18358132300644781</v>
      </c>
      <c r="AM35" s="36">
        <v>0.11249230229993891</v>
      </c>
      <c r="AN35" s="36">
        <v>9.5967500492896207E-2</v>
      </c>
      <c r="AO35" s="36">
        <v>0.39233357308013495</v>
      </c>
      <c r="AP35" s="36">
        <v>0.13610538561422647</v>
      </c>
      <c r="AQ35" s="36">
        <v>0.11944217838127465</v>
      </c>
      <c r="AR35" s="36">
        <v>7.735095718243111E-2</v>
      </c>
      <c r="AS35" s="36">
        <v>4.818483991156388E-2</v>
      </c>
      <c r="AT35" s="36">
        <v>3.9625474133604462E-2</v>
      </c>
      <c r="AU35" s="2"/>
      <c r="AV35" s="3">
        <v>21.931856230000001</v>
      </c>
      <c r="AW35" s="3">
        <v>21.087036139999999</v>
      </c>
      <c r="AX35" s="3">
        <v>22.120869970000001</v>
      </c>
      <c r="AY35" s="3">
        <v>46.870800199999998</v>
      </c>
      <c r="AZ35" s="3">
        <v>25.5133829</v>
      </c>
      <c r="BA35" s="3">
        <v>27.531871599999999</v>
      </c>
      <c r="BB35" s="3">
        <v>9.2408641800000009</v>
      </c>
      <c r="BC35" s="3">
        <v>9.0323999100000005</v>
      </c>
      <c r="BD35" s="3">
        <v>9.1338208900000009</v>
      </c>
      <c r="BF35" s="5">
        <v>21.713254113333335</v>
      </c>
      <c r="BG35" s="5">
        <v>33.305351566666666</v>
      </c>
      <c r="BH35" s="5">
        <v>9.1356949933333329</v>
      </c>
      <c r="BI35" s="5">
        <v>64.154300673333339</v>
      </c>
      <c r="BJ35" s="5"/>
      <c r="BK35" s="5">
        <v>33.84536014802007</v>
      </c>
      <c r="BL35" s="5">
        <v>51.914448785364932</v>
      </c>
      <c r="BM35" s="5">
        <v>14.240191066614988</v>
      </c>
    </row>
    <row r="36" spans="1:65" x14ac:dyDescent="0.2">
      <c r="A36" s="2" t="s">
        <v>37</v>
      </c>
      <c r="B36">
        <v>1500.86</v>
      </c>
      <c r="C36">
        <v>1607.39</v>
      </c>
      <c r="D36">
        <v>1955.09</v>
      </c>
      <c r="E36" s="65">
        <v>866.37</v>
      </c>
      <c r="F36" s="66">
        <v>941.18</v>
      </c>
      <c r="G36" s="73">
        <v>1042.71</v>
      </c>
      <c r="H36">
        <v>1387.72</v>
      </c>
      <c r="I36">
        <v>1500.81</v>
      </c>
      <c r="J36">
        <v>1657.79</v>
      </c>
      <c r="K36" s="65">
        <v>1092.1300000000001</v>
      </c>
      <c r="L36" s="66">
        <v>1184.01</v>
      </c>
      <c r="M36" s="73">
        <v>1280.96</v>
      </c>
      <c r="N36" s="36"/>
      <c r="O36" s="36">
        <v>642.54645089476833</v>
      </c>
      <c r="P36" s="36">
        <v>688.15395153694669</v>
      </c>
      <c r="Q36" s="36">
        <v>837.01087421868317</v>
      </c>
      <c r="R36" s="63">
        <v>664.44512615998156</v>
      </c>
      <c r="S36" s="64">
        <v>721.81915791088261</v>
      </c>
      <c r="T36" s="72">
        <v>799.68555870848991</v>
      </c>
      <c r="U36" s="36">
        <v>517.96058524932823</v>
      </c>
      <c r="V36" s="36">
        <v>560.17094655120934</v>
      </c>
      <c r="W36" s="36">
        <v>618.76306360107503</v>
      </c>
      <c r="X36" s="63">
        <v>987.37003887532774</v>
      </c>
      <c r="Y36" s="64">
        <v>1070.4366693788988</v>
      </c>
      <c r="Z36" s="72">
        <v>1158.0869722448242</v>
      </c>
      <c r="AA36" s="36"/>
      <c r="AB36">
        <v>7814.24</v>
      </c>
      <c r="AC36">
        <f>3556.69+5428.81</f>
        <v>8985.5</v>
      </c>
      <c r="AD36">
        <v>8364.15</v>
      </c>
      <c r="AE36" s="21">
        <v>6422.4</v>
      </c>
      <c r="AF36" s="21">
        <v>8554.3799999999992</v>
      </c>
      <c r="AG36">
        <v>13811.87</v>
      </c>
      <c r="AH36">
        <v>2418.27</v>
      </c>
      <c r="AI36">
        <v>2825.04</v>
      </c>
      <c r="AJ36">
        <v>1830.35</v>
      </c>
      <c r="AK36" s="36"/>
      <c r="AL36" s="36">
        <v>1.9020292719497026E-2</v>
      </c>
      <c r="AM36" s="36">
        <v>2.1871204394930351E-2</v>
      </c>
      <c r="AN36" s="36">
        <v>2.0358804099922839E-2</v>
      </c>
      <c r="AO36" s="36">
        <v>3.1001675009533554E-2</v>
      </c>
      <c r="AP36" s="36">
        <v>4.1292991509101526E-2</v>
      </c>
      <c r="AQ36" s="36">
        <v>6.6671509873867441E-2</v>
      </c>
      <c r="AR36" s="36">
        <v>7.5819990768739689E-3</v>
      </c>
      <c r="AS36" s="36">
        <v>8.8573445777899232E-3</v>
      </c>
      <c r="AT36" s="36">
        <v>5.7386941947575199E-3</v>
      </c>
      <c r="AU36" s="2"/>
      <c r="AV36" s="3">
        <v>6.7631983</v>
      </c>
      <c r="AW36" s="3">
        <v>7.1931010500000001</v>
      </c>
      <c r="AX36" s="3">
        <v>5.9641209799999997</v>
      </c>
      <c r="AY36" s="3">
        <v>11.0235147</v>
      </c>
      <c r="AZ36" s="3">
        <v>13.5806266</v>
      </c>
      <c r="BA36" s="3">
        <v>19.531449299999998</v>
      </c>
      <c r="BB36" s="3">
        <v>2.6959923300000002</v>
      </c>
      <c r="BC36" s="3">
        <v>2.9130437200000001</v>
      </c>
      <c r="BD36" s="3">
        <v>1.68115309</v>
      </c>
      <c r="BF36" s="5">
        <v>6.6401401099999999</v>
      </c>
      <c r="BG36" s="5">
        <v>14.711863533333334</v>
      </c>
      <c r="BH36" s="5">
        <v>2.4300630466666671</v>
      </c>
      <c r="BI36" s="5">
        <v>23.782066690000001</v>
      </c>
      <c r="BJ36" s="5"/>
      <c r="BK36" s="5">
        <v>27.920786685843741</v>
      </c>
      <c r="BL36" s="5">
        <v>61.86116507494048</v>
      </c>
      <c r="BM36" s="5">
        <v>10.218048239215777</v>
      </c>
    </row>
    <row r="37" spans="1:65" x14ac:dyDescent="0.2">
      <c r="A37" s="2" t="s">
        <v>38</v>
      </c>
      <c r="B37">
        <v>3100.22</v>
      </c>
      <c r="C37">
        <v>1236.8399999999999</v>
      </c>
      <c r="D37">
        <v>1131.7</v>
      </c>
      <c r="E37" s="65">
        <v>1591.74</v>
      </c>
      <c r="F37" s="66">
        <v>666.2</v>
      </c>
      <c r="G37" s="73">
        <v>636.97</v>
      </c>
      <c r="H37">
        <v>2546.2199999999998</v>
      </c>
      <c r="I37">
        <v>1082.68</v>
      </c>
      <c r="J37">
        <v>1026.6400000000001</v>
      </c>
      <c r="K37" s="65">
        <v>2046.25</v>
      </c>
      <c r="L37" s="66">
        <v>812.12</v>
      </c>
      <c r="M37" s="73">
        <v>777.18</v>
      </c>
      <c r="N37" s="36"/>
      <c r="O37" s="36">
        <v>1327.2626081000085</v>
      </c>
      <c r="P37" s="36">
        <v>529.51451322887237</v>
      </c>
      <c r="Q37" s="36">
        <v>484.50209778234444</v>
      </c>
      <c r="R37" s="63">
        <v>1220.7531252396657</v>
      </c>
      <c r="S37" s="64">
        <v>510.92875220492368</v>
      </c>
      <c r="T37" s="72">
        <v>488.51138891019252</v>
      </c>
      <c r="U37" s="36">
        <v>950.36578083009852</v>
      </c>
      <c r="V37" s="36">
        <v>404.10570319498362</v>
      </c>
      <c r="W37" s="36">
        <v>383.18901164526733</v>
      </c>
      <c r="X37" s="63">
        <v>1849.9683572913841</v>
      </c>
      <c r="Y37" s="64">
        <v>734.2193291745773</v>
      </c>
      <c r="Z37" s="72">
        <v>702.63086520206116</v>
      </c>
      <c r="AA37" s="36"/>
      <c r="AB37">
        <f>5888.02+1371.75</f>
        <v>7259.77</v>
      </c>
      <c r="AC37">
        <f>1206.61+919.57+780.75</f>
        <v>2906.93</v>
      </c>
      <c r="AD37">
        <f>1155.78+1585.42+1225.98</f>
        <v>3967.18</v>
      </c>
      <c r="AE37" s="21">
        <v>8360.18</v>
      </c>
      <c r="AF37">
        <f>5912.42+6882.79</f>
        <v>12795.21</v>
      </c>
      <c r="AG37">
        <f>7106.68+6386.48</f>
        <v>13493.16</v>
      </c>
      <c r="AH37">
        <v>6550.1</v>
      </c>
      <c r="AI37">
        <f>856.88+750.49+214.98</f>
        <v>1822.35</v>
      </c>
      <c r="AJ37">
        <f>1133.18+1242.63</f>
        <v>2375.8100000000004</v>
      </c>
      <c r="AK37" s="36"/>
      <c r="AL37" s="36">
        <v>1.7670682046651107E-2</v>
      </c>
      <c r="AM37" s="36">
        <v>7.0756285339441186E-3</v>
      </c>
      <c r="AN37" s="36">
        <v>9.6563357243870437E-3</v>
      </c>
      <c r="AO37" s="36">
        <v>4.0355565424327708E-2</v>
      </c>
      <c r="AP37" s="36">
        <v>6.1763973296389794E-2</v>
      </c>
      <c r="AQ37" s="36">
        <v>6.5133059474906232E-2</v>
      </c>
      <c r="AR37" s="36">
        <v>1.0268260399672531E-2</v>
      </c>
      <c r="AS37" s="36">
        <v>2.8568059020996988E-3</v>
      </c>
      <c r="AT37" s="36">
        <v>3.7244371444933666E-3</v>
      </c>
      <c r="AU37" s="2"/>
      <c r="AV37" s="3">
        <v>3.30395028</v>
      </c>
      <c r="AW37" s="3">
        <v>3.2475360200000001</v>
      </c>
      <c r="AX37" s="3">
        <v>4.6901978099999999</v>
      </c>
      <c r="AY37" s="3">
        <v>7.5454236200000002</v>
      </c>
      <c r="AZ37" s="3">
        <v>28.348114599999999</v>
      </c>
      <c r="BA37" s="3">
        <v>31.635906299999998</v>
      </c>
      <c r="BB37" s="3">
        <v>3.8397863399999999</v>
      </c>
      <c r="BC37" s="3">
        <v>2.62240451</v>
      </c>
      <c r="BD37" s="3">
        <v>3.6180073699999999</v>
      </c>
      <c r="BF37" s="5">
        <v>3.7472280366666673</v>
      </c>
      <c r="BG37" s="5">
        <v>22.509814840000001</v>
      </c>
      <c r="BH37" s="5">
        <v>3.3600660733333334</v>
      </c>
      <c r="BI37" s="5">
        <v>29.617108949999999</v>
      </c>
      <c r="BJ37" s="5"/>
      <c r="BK37" s="5">
        <v>12.652241118445382</v>
      </c>
      <c r="BL37" s="5">
        <v>76.002741786854926</v>
      </c>
      <c r="BM37" s="5">
        <v>11.345017094699696</v>
      </c>
    </row>
    <row r="38" spans="1:65" x14ac:dyDescent="0.2">
      <c r="A38" s="2" t="s">
        <v>39</v>
      </c>
      <c r="B38">
        <v>3252.67</v>
      </c>
      <c r="C38">
        <v>4552.16</v>
      </c>
      <c r="D38">
        <v>1304.98</v>
      </c>
      <c r="E38" s="65">
        <v>1742</v>
      </c>
      <c r="F38" s="66">
        <v>2386.63</v>
      </c>
      <c r="G38" s="73">
        <v>909.96</v>
      </c>
      <c r="H38">
        <v>2813.71</v>
      </c>
      <c r="I38">
        <v>3861.07</v>
      </c>
      <c r="J38">
        <v>1303.8699999999999</v>
      </c>
      <c r="K38" s="65">
        <v>2213.21</v>
      </c>
      <c r="L38" s="66">
        <v>3011.09</v>
      </c>
      <c r="M38" s="73">
        <v>1026.44</v>
      </c>
      <c r="N38" s="36"/>
      <c r="O38" s="36">
        <v>1392.5293261409367</v>
      </c>
      <c r="P38" s="36">
        <v>1948.8654850586522</v>
      </c>
      <c r="Q38" s="36">
        <v>558.68653138111142</v>
      </c>
      <c r="R38" s="63">
        <v>1335.9920239282153</v>
      </c>
      <c r="S38" s="64">
        <v>1830.3780964797913</v>
      </c>
      <c r="T38" s="72">
        <v>697.87560395735863</v>
      </c>
      <c r="U38" s="36">
        <v>1050.2052851597493</v>
      </c>
      <c r="V38" s="36">
        <v>1441.1279486413857</v>
      </c>
      <c r="W38" s="36">
        <v>486.66392953120334</v>
      </c>
      <c r="X38" s="63">
        <v>2000.9131181629145</v>
      </c>
      <c r="Y38" s="64">
        <v>2722.258385317783</v>
      </c>
      <c r="Z38" s="72">
        <v>927.98119519030831</v>
      </c>
      <c r="AA38" s="36"/>
      <c r="AB38">
        <v>55276</v>
      </c>
      <c r="AC38">
        <v>77863</v>
      </c>
      <c r="AD38">
        <v>27554</v>
      </c>
      <c r="AE38" s="21">
        <v>17825</v>
      </c>
      <c r="AF38">
        <v>28816</v>
      </c>
      <c r="AG38">
        <v>7637</v>
      </c>
      <c r="AH38">
        <v>28975</v>
      </c>
      <c r="AI38">
        <v>36421</v>
      </c>
      <c r="AJ38">
        <v>12643</v>
      </c>
      <c r="AK38" s="36"/>
      <c r="AL38" s="36">
        <v>0.13454484381883813</v>
      </c>
      <c r="AM38" s="36">
        <v>0.18952285212870312</v>
      </c>
      <c r="AN38" s="36">
        <v>6.7067961259574968E-2</v>
      </c>
      <c r="AO38" s="36">
        <v>8.6043357163199996E-2</v>
      </c>
      <c r="AP38" s="36">
        <v>0.13909819803729431</v>
      </c>
      <c r="AQ38" s="36">
        <v>3.6864691088659654E-2</v>
      </c>
      <c r="AR38" s="36">
        <v>4.5422641651350605E-2</v>
      </c>
      <c r="AS38" s="36">
        <v>5.7095359157337024E-2</v>
      </c>
      <c r="AT38" s="36">
        <v>1.9819791489146702E-2</v>
      </c>
      <c r="AU38" s="2"/>
      <c r="AV38" s="3">
        <v>23.2791055</v>
      </c>
      <c r="AW38" s="3">
        <v>23.861473400000001</v>
      </c>
      <c r="AX38" s="3">
        <v>25.107734000000001</v>
      </c>
      <c r="AY38" s="3">
        <v>14.8873218</v>
      </c>
      <c r="AZ38" s="3">
        <v>17.512864100000002</v>
      </c>
      <c r="BA38" s="3">
        <v>13.8007603</v>
      </c>
      <c r="BB38" s="3">
        <v>7.8590783499999999</v>
      </c>
      <c r="BC38" s="3">
        <v>7.1884702899999997</v>
      </c>
      <c r="BD38" s="3">
        <v>7.4197879699999998</v>
      </c>
      <c r="BF38" s="5">
        <v>24.082770966666668</v>
      </c>
      <c r="BG38" s="5">
        <v>15.400315400000002</v>
      </c>
      <c r="BH38" s="5">
        <v>7.4891122033333319</v>
      </c>
      <c r="BI38" s="5">
        <v>46.972198570000003</v>
      </c>
      <c r="BJ38" s="5"/>
      <c r="BK38" s="5">
        <v>51.2702656035516</v>
      </c>
      <c r="BL38" s="5">
        <v>32.786022091450086</v>
      </c>
      <c r="BM38" s="5">
        <v>15.943712304998311</v>
      </c>
    </row>
    <row r="39" spans="1:65" x14ac:dyDescent="0.2">
      <c r="A39" s="2" t="s">
        <v>40</v>
      </c>
      <c r="B39">
        <v>2665.83</v>
      </c>
      <c r="C39">
        <v>3747.84</v>
      </c>
      <c r="D39">
        <v>3978.21</v>
      </c>
      <c r="E39" s="65">
        <v>1463.47</v>
      </c>
      <c r="F39" s="66">
        <v>1884.79</v>
      </c>
      <c r="G39" s="73">
        <v>2010.74</v>
      </c>
      <c r="H39">
        <v>2328.36</v>
      </c>
      <c r="I39">
        <v>2998.93</v>
      </c>
      <c r="J39">
        <v>3216.16</v>
      </c>
      <c r="K39" s="65">
        <v>1799.61</v>
      </c>
      <c r="L39" s="66">
        <v>2445.44</v>
      </c>
      <c r="M39" s="73">
        <v>3216.16</v>
      </c>
      <c r="N39" s="36"/>
      <c r="O39" s="36">
        <v>1141.292062676599</v>
      </c>
      <c r="P39" s="36">
        <v>1604.5209350115595</v>
      </c>
      <c r="Q39" s="36">
        <v>1703.1466735165684</v>
      </c>
      <c r="R39" s="63">
        <v>1122.3790167957666</v>
      </c>
      <c r="S39" s="64">
        <v>1445.5019556714471</v>
      </c>
      <c r="T39" s="72">
        <v>1542.0967865633868</v>
      </c>
      <c r="U39" s="36">
        <v>869.05046282472392</v>
      </c>
      <c r="V39" s="36">
        <v>1119.3378620483727</v>
      </c>
      <c r="W39" s="36">
        <v>1200.4180352343983</v>
      </c>
      <c r="X39" s="63">
        <v>1626.9867100623812</v>
      </c>
      <c r="Y39" s="64">
        <v>2210.8670102160745</v>
      </c>
      <c r="Z39" s="72">
        <v>2907.657535485037</v>
      </c>
      <c r="AA39" s="36"/>
      <c r="AB39">
        <f>3721+2483.88</f>
        <v>6204.88</v>
      </c>
      <c r="AC39">
        <v>9620.23</v>
      </c>
      <c r="AD39">
        <v>10594.97</v>
      </c>
      <c r="AE39" s="21">
        <f>6947.63+10492.51</f>
        <v>17440.14</v>
      </c>
      <c r="AF39" s="21">
        <v>9806.01</v>
      </c>
      <c r="AG39">
        <v>10649.1</v>
      </c>
      <c r="AH39">
        <f>1145.94+1614.01</f>
        <v>2759.95</v>
      </c>
      <c r="AI39">
        <v>3381.72</v>
      </c>
      <c r="AJ39">
        <v>4060.4</v>
      </c>
      <c r="AK39" s="36"/>
      <c r="AL39" s="36">
        <v>1.5103021392912518E-2</v>
      </c>
      <c r="AM39" s="36">
        <v>2.3416172350591596E-2</v>
      </c>
      <c r="AN39" s="36">
        <v>2.5788743467603938E-2</v>
      </c>
      <c r="AO39" s="36">
        <v>8.4185592987164687E-2</v>
      </c>
      <c r="AP39" s="36">
        <v>4.7334755723753758E-2</v>
      </c>
      <c r="AQ39" s="36">
        <v>5.1404449636276751E-2</v>
      </c>
      <c r="AR39" s="36">
        <v>8.6532679776113956E-3</v>
      </c>
      <c r="AS39" s="36">
        <v>1.06027027247769E-2</v>
      </c>
      <c r="AT39" s="36">
        <v>1.2730567327775253E-2</v>
      </c>
      <c r="AU39" s="2"/>
      <c r="AV39" s="3">
        <v>3.1730981379999998</v>
      </c>
      <c r="AW39" s="3">
        <v>3.670115429</v>
      </c>
      <c r="AX39" s="3">
        <v>3.5070888889999998</v>
      </c>
      <c r="AY39" s="3">
        <v>17.687132999999999</v>
      </c>
      <c r="AZ39" s="3">
        <v>7.4189758599999998</v>
      </c>
      <c r="BA39" s="3">
        <v>6.9906459099999996</v>
      </c>
      <c r="BB39" s="3">
        <v>1.8180248699999999</v>
      </c>
      <c r="BC39" s="3">
        <v>1.66180631</v>
      </c>
      <c r="BD39" s="3">
        <v>1.73126819</v>
      </c>
      <c r="BF39" s="5">
        <v>3.4501008186666664</v>
      </c>
      <c r="BG39" s="5">
        <v>10.698918256666666</v>
      </c>
      <c r="BH39" s="5">
        <v>1.7370331233333332</v>
      </c>
      <c r="BI39" s="5">
        <v>15.886052198666665</v>
      </c>
      <c r="BJ39" s="5"/>
      <c r="BK39" s="5">
        <v>21.717798579034238</v>
      </c>
      <c r="BL39" s="5">
        <v>67.347872982342565</v>
      </c>
      <c r="BM39" s="5">
        <v>10.934328438623186</v>
      </c>
    </row>
    <row r="40" spans="1:65" x14ac:dyDescent="0.2">
      <c r="A40" s="2" t="s">
        <v>41</v>
      </c>
      <c r="B40">
        <v>2638.21</v>
      </c>
      <c r="C40">
        <v>3264.84</v>
      </c>
      <c r="D40">
        <v>2017.26</v>
      </c>
      <c r="E40" s="65">
        <v>1541.27</v>
      </c>
      <c r="F40" s="66">
        <v>1731.84</v>
      </c>
      <c r="G40" s="73">
        <v>1202.6500000000001</v>
      </c>
      <c r="H40">
        <v>2491.61</v>
      </c>
      <c r="I40">
        <v>2793.8</v>
      </c>
      <c r="J40">
        <v>1944.53</v>
      </c>
      <c r="K40" s="65">
        <v>1968.6</v>
      </c>
      <c r="L40" s="66">
        <v>2235.48</v>
      </c>
      <c r="M40" s="73">
        <v>1548.33</v>
      </c>
      <c r="N40" s="36"/>
      <c r="O40" s="36">
        <v>1129.4674201558353</v>
      </c>
      <c r="P40" s="36">
        <v>1397.7395324942206</v>
      </c>
      <c r="Q40" s="36">
        <v>863.62702286154638</v>
      </c>
      <c r="R40" s="63">
        <v>1182.0461691847534</v>
      </c>
      <c r="S40" s="64">
        <v>1328.2000153385995</v>
      </c>
      <c r="T40" s="72">
        <v>922.34833959659488</v>
      </c>
      <c r="U40" s="36">
        <v>929.98283069573017</v>
      </c>
      <c r="V40" s="36">
        <v>1042.7739623768291</v>
      </c>
      <c r="W40" s="36">
        <v>725.78754852194686</v>
      </c>
      <c r="X40" s="63">
        <v>1779.7667480336315</v>
      </c>
      <c r="Y40" s="64">
        <v>2021.0469216164902</v>
      </c>
      <c r="Z40" s="72">
        <v>1399.8101437483047</v>
      </c>
      <c r="AA40" s="36"/>
      <c r="AB40">
        <v>25243</v>
      </c>
      <c r="AC40">
        <v>24237</v>
      </c>
      <c r="AD40">
        <v>15404</v>
      </c>
      <c r="AE40" s="21">
        <v>19069</v>
      </c>
      <c r="AF40">
        <v>18775</v>
      </c>
      <c r="AG40">
        <v>14068</v>
      </c>
      <c r="AH40">
        <v>28891</v>
      </c>
      <c r="AI40">
        <v>27897</v>
      </c>
      <c r="AJ40">
        <v>21459</v>
      </c>
      <c r="AK40" s="36"/>
      <c r="AL40" s="36">
        <v>6.1442859333506961E-2</v>
      </c>
      <c r="AM40" s="36">
        <v>5.8994199646088354E-2</v>
      </c>
      <c r="AN40" s="36">
        <v>3.7494188692839256E-2</v>
      </c>
      <c r="AO40" s="36">
        <v>9.2048290476581238E-2</v>
      </c>
      <c r="AP40" s="36">
        <v>9.0629118134029726E-2</v>
      </c>
      <c r="AQ40" s="36">
        <v>6.7907879302771243E-2</v>
      </c>
      <c r="AR40" s="36">
        <v>4.5290959100920458E-2</v>
      </c>
      <c r="AS40" s="36">
        <v>4.3732715587497077E-2</v>
      </c>
      <c r="AT40" s="36">
        <v>3.3640188686672394E-2</v>
      </c>
      <c r="AU40" s="2"/>
      <c r="AV40" s="3">
        <v>12.2365344</v>
      </c>
      <c r="AW40" s="3">
        <v>10.1894025</v>
      </c>
      <c r="AX40" s="3">
        <v>9.5854501899999995</v>
      </c>
      <c r="AY40" s="3">
        <v>18.331700099999999</v>
      </c>
      <c r="AZ40" s="3">
        <v>15.653345099999999</v>
      </c>
      <c r="BA40" s="3">
        <v>17.360759600000002</v>
      </c>
      <c r="BB40" s="3">
        <v>9.01983377</v>
      </c>
      <c r="BC40" s="3">
        <v>7.55345858</v>
      </c>
      <c r="BD40" s="3">
        <v>8.6001688400000003</v>
      </c>
      <c r="BF40" s="5">
        <v>10.670462363333334</v>
      </c>
      <c r="BG40" s="5">
        <v>17.115268266666668</v>
      </c>
      <c r="BH40" s="5">
        <v>8.3911537299999992</v>
      </c>
      <c r="BI40" s="5">
        <v>36.176884360000003</v>
      </c>
      <c r="BJ40" s="5"/>
      <c r="BK40" s="5">
        <v>29.495249665920465</v>
      </c>
      <c r="BL40" s="5">
        <v>47.309956535645313</v>
      </c>
      <c r="BM40" s="5">
        <v>23.194793798434219</v>
      </c>
    </row>
    <row r="41" spans="1:65" x14ac:dyDescent="0.2">
      <c r="A41" s="2" t="s">
        <v>42</v>
      </c>
      <c r="B41">
        <v>1974.52</v>
      </c>
      <c r="C41">
        <v>2776.17</v>
      </c>
      <c r="D41">
        <v>2657.97</v>
      </c>
      <c r="E41" s="65">
        <v>1057.03</v>
      </c>
      <c r="F41" s="66">
        <v>1433.72</v>
      </c>
      <c r="G41" s="73">
        <v>1399.83</v>
      </c>
      <c r="H41">
        <v>1667.49</v>
      </c>
      <c r="I41">
        <v>2283.9899999999998</v>
      </c>
      <c r="J41">
        <v>2221.0700000000002</v>
      </c>
      <c r="K41" s="65">
        <v>1332.6</v>
      </c>
      <c r="L41" s="66">
        <v>1824.76</v>
      </c>
      <c r="M41" s="73">
        <v>1774.8</v>
      </c>
      <c r="N41" s="36"/>
      <c r="O41" s="36">
        <v>845.32922339241372</v>
      </c>
      <c r="P41" s="36">
        <v>1188.5306961212434</v>
      </c>
      <c r="Q41" s="36">
        <v>1137.927048548677</v>
      </c>
      <c r="R41" s="63">
        <v>810.66799601196408</v>
      </c>
      <c r="S41" s="64">
        <v>1099.5628499118029</v>
      </c>
      <c r="T41" s="72">
        <v>1073.571592913567</v>
      </c>
      <c r="U41" s="36">
        <v>622.38354732756056</v>
      </c>
      <c r="V41" s="36">
        <v>852.48954911914007</v>
      </c>
      <c r="W41" s="36">
        <v>829.00492684383414</v>
      </c>
      <c r="X41" s="79">
        <v>1204.7735286140492</v>
      </c>
      <c r="Y41" s="80">
        <v>1649.7242563963473</v>
      </c>
      <c r="Z41" s="85">
        <v>1604.5565500406833</v>
      </c>
      <c r="AA41" s="36"/>
      <c r="AB41">
        <v>12093.09</v>
      </c>
      <c r="AC41">
        <v>17816.68</v>
      </c>
      <c r="AD41">
        <v>19658.310000000001</v>
      </c>
      <c r="AE41">
        <v>9518.6299999999992</v>
      </c>
      <c r="AF41">
        <v>13727.2</v>
      </c>
      <c r="AG41">
        <v>14354.02</v>
      </c>
      <c r="AH41">
        <v>6230.07</v>
      </c>
      <c r="AI41">
        <v>7988.79</v>
      </c>
      <c r="AJ41">
        <v>7209.82</v>
      </c>
      <c r="AK41" s="36"/>
      <c r="AL41" s="36">
        <v>2.9435250476466335E-2</v>
      </c>
      <c r="AM41" s="36">
        <v>4.3366785367432825E-2</v>
      </c>
      <c r="AN41" s="36">
        <v>4.7849414731389824E-2</v>
      </c>
      <c r="AO41" s="36">
        <v>4.5947538894493704E-2</v>
      </c>
      <c r="AP41" s="36">
        <v>6.6262797893446232E-2</v>
      </c>
      <c r="AQ41" s="36">
        <v>6.9288531253167793E-2</v>
      </c>
      <c r="AR41" s="36">
        <v>9.7665655590277768E-3</v>
      </c>
      <c r="AS41" s="36">
        <v>1.2523621929176641E-2</v>
      </c>
      <c r="AT41" s="36">
        <v>1.1302470068360332E-2</v>
      </c>
      <c r="AU41" s="2"/>
      <c r="AV41" s="3">
        <v>8.4507455</v>
      </c>
      <c r="AW41" s="3">
        <v>9.05302775</v>
      </c>
      <c r="AX41" s="3">
        <v>10.30114</v>
      </c>
      <c r="AY41" s="3">
        <v>13.191359</v>
      </c>
      <c r="AZ41" s="3">
        <v>13.832681900000001</v>
      </c>
      <c r="BA41" s="3">
        <v>14.9166059</v>
      </c>
      <c r="BB41" s="3">
        <v>2.8039428399999999</v>
      </c>
      <c r="BC41" s="3">
        <v>2.6143670999999999</v>
      </c>
      <c r="BD41" s="3">
        <v>2.43322364</v>
      </c>
      <c r="BF41" s="5">
        <v>9.2683044166666679</v>
      </c>
      <c r="BG41" s="5">
        <v>13.980215600000001</v>
      </c>
      <c r="BH41" s="5">
        <v>2.61717786</v>
      </c>
      <c r="BI41" s="5">
        <v>25.865697876666665</v>
      </c>
      <c r="BJ41" s="5"/>
      <c r="BK41" s="5">
        <v>35.832415815184966</v>
      </c>
      <c r="BL41" s="5">
        <v>54.049249576256329</v>
      </c>
      <c r="BM41" s="5">
        <v>10.118334608558715</v>
      </c>
    </row>
    <row r="42" spans="1:65" x14ac:dyDescent="0.2">
      <c r="A42" s="2" t="s">
        <v>43</v>
      </c>
      <c r="B42">
        <v>1403.85</v>
      </c>
      <c r="C42">
        <v>1513.48</v>
      </c>
      <c r="D42">
        <v>1034.03</v>
      </c>
      <c r="E42" s="65">
        <v>885.8</v>
      </c>
      <c r="F42" s="66">
        <v>870.27</v>
      </c>
      <c r="G42" s="73">
        <v>614.92999999999995</v>
      </c>
      <c r="H42">
        <v>1415.32</v>
      </c>
      <c r="I42">
        <v>1385.5</v>
      </c>
      <c r="J42">
        <v>970.67</v>
      </c>
      <c r="K42" s="65">
        <v>1044.29</v>
      </c>
      <c r="L42" s="66">
        <v>1054.5999999999999</v>
      </c>
      <c r="M42" s="73">
        <v>729.48</v>
      </c>
      <c r="N42" s="36"/>
      <c r="O42" s="36">
        <v>601.01464166452604</v>
      </c>
      <c r="P42" s="36">
        <v>647.94931072865836</v>
      </c>
      <c r="Q42" s="36">
        <v>442.68773011387964</v>
      </c>
      <c r="R42" s="63">
        <v>679.34657565764235</v>
      </c>
      <c r="S42" s="64">
        <v>667.4361530792238</v>
      </c>
      <c r="T42" s="72">
        <v>471.60825216657713</v>
      </c>
      <c r="U42" s="38">
        <v>528.26216781128699</v>
      </c>
      <c r="V42" s="38">
        <v>517.13197969543148</v>
      </c>
      <c r="W42" s="38">
        <v>362.29844729770082</v>
      </c>
      <c r="X42" s="63">
        <v>944.11897658439557</v>
      </c>
      <c r="Y42" s="64">
        <v>953.44001446523805</v>
      </c>
      <c r="Z42" s="72">
        <v>659.50637374559255</v>
      </c>
      <c r="AA42" s="36"/>
      <c r="AB42">
        <f>712.44+710.31</f>
        <v>1422.75</v>
      </c>
      <c r="AC42">
        <f>1159.44+245.68+302.43</f>
        <v>1707.5500000000002</v>
      </c>
      <c r="AD42">
        <f>1243.96+404.87</f>
        <v>1648.83</v>
      </c>
      <c r="AE42" s="21">
        <v>8179.67</v>
      </c>
      <c r="AF42">
        <f>3905.83+6252.31</f>
        <v>10158.14</v>
      </c>
      <c r="AG42">
        <v>13381.89</v>
      </c>
      <c r="AH42">
        <f>1011.02+905.69+1030.14</f>
        <v>2946.8500000000004</v>
      </c>
      <c r="AI42">
        <f>2241.02+2004.18</f>
        <v>4245.2</v>
      </c>
      <c r="AJ42">
        <f>1235.38+1377.85</f>
        <v>2613.23</v>
      </c>
      <c r="AK42" s="36"/>
      <c r="AL42" s="36">
        <v>3.4630522567344227E-3</v>
      </c>
      <c r="AM42" s="36">
        <v>4.1562712219201294E-3</v>
      </c>
      <c r="AN42" s="36">
        <v>4.0133434914576827E-3</v>
      </c>
      <c r="AO42" s="36">
        <v>3.9484222568701939E-2</v>
      </c>
      <c r="AP42" s="36">
        <v>4.9034528366551942E-2</v>
      </c>
      <c r="AQ42" s="36">
        <v>6.4595946187301787E-2</v>
      </c>
      <c r="AR42" s="38">
        <v>9.2392553270255421E-3</v>
      </c>
      <c r="AS42" s="38">
        <v>1.330997054966789E-2</v>
      </c>
      <c r="AT42" s="38">
        <v>8.1932569347754232E-3</v>
      </c>
      <c r="AU42" s="2"/>
      <c r="AV42" s="3">
        <v>1.25803719</v>
      </c>
      <c r="AW42" s="3">
        <v>1.4918645699999999</v>
      </c>
      <c r="AX42" s="3">
        <v>2.0729000700000002</v>
      </c>
      <c r="AY42" s="3">
        <v>14.3435954</v>
      </c>
      <c r="AZ42" s="3">
        <v>17.600601999999999</v>
      </c>
      <c r="BA42" s="3">
        <v>33.363937499999999</v>
      </c>
      <c r="BB42" s="3">
        <v>3.35638215</v>
      </c>
      <c r="BC42" s="3">
        <v>4.7775211000000004</v>
      </c>
      <c r="BD42" s="3">
        <v>4.2318338600000001</v>
      </c>
      <c r="BF42" s="5">
        <v>1.6076006100000002</v>
      </c>
      <c r="BG42" s="5">
        <v>21.7693783</v>
      </c>
      <c r="BH42" s="5">
        <v>4.1219123699999995</v>
      </c>
      <c r="BI42" s="5">
        <v>27.498891279999999</v>
      </c>
      <c r="BJ42" s="5"/>
      <c r="BK42" s="5">
        <v>5.846056095975082</v>
      </c>
      <c r="BL42" s="5">
        <v>79.164567321421117</v>
      </c>
      <c r="BM42" s="5">
        <v>14.989376582603805</v>
      </c>
    </row>
    <row r="43" spans="1:65" x14ac:dyDescent="0.2">
      <c r="A43" s="2" t="s">
        <v>44</v>
      </c>
      <c r="B43" s="22">
        <v>3122.98</v>
      </c>
      <c r="C43" s="22">
        <v>2967.76</v>
      </c>
      <c r="D43" s="22">
        <v>3008.9</v>
      </c>
      <c r="E43" s="67">
        <v>1811.86</v>
      </c>
      <c r="F43" s="68">
        <v>1590.86</v>
      </c>
      <c r="G43" s="74">
        <v>1661.9</v>
      </c>
      <c r="H43" s="22">
        <v>2910.32</v>
      </c>
      <c r="I43" s="22">
        <v>2558.0300000000002</v>
      </c>
      <c r="J43" s="22">
        <v>2668.45</v>
      </c>
      <c r="K43" s="67">
        <v>2284.1999999999998</v>
      </c>
      <c r="L43" s="68">
        <v>1958.7</v>
      </c>
      <c r="M43" s="74">
        <v>2104.2800000000002</v>
      </c>
      <c r="N43" s="36"/>
      <c r="O43" s="36">
        <v>1337.00659</v>
      </c>
      <c r="P43" s="36">
        <v>1270.5539900000001</v>
      </c>
      <c r="Q43" s="36">
        <v>1288.1668</v>
      </c>
      <c r="R43" s="79">
        <v>1389.5697500000001</v>
      </c>
      <c r="S43" s="80">
        <v>1220.0782300000001</v>
      </c>
      <c r="T43" s="85">
        <v>1274.5609300000001</v>
      </c>
      <c r="U43" s="36">
        <v>1086.2645600000001</v>
      </c>
      <c r="V43" s="36">
        <v>954.77381300000002</v>
      </c>
      <c r="W43" s="36">
        <v>995.98760800000002</v>
      </c>
      <c r="X43" s="63">
        <v>2065.09357</v>
      </c>
      <c r="Y43" s="64">
        <v>1770.81638</v>
      </c>
      <c r="Z43" s="72">
        <v>1902.4319700000001</v>
      </c>
      <c r="AA43" s="36"/>
      <c r="AB43" s="22">
        <v>16701.23</v>
      </c>
      <c r="AC43" s="22">
        <v>15824.44</v>
      </c>
      <c r="AD43" s="22">
        <v>11437.11</v>
      </c>
      <c r="AE43" s="39">
        <v>16647.46</v>
      </c>
      <c r="AF43" s="39">
        <v>57877.51</v>
      </c>
      <c r="AG43" s="22">
        <v>12031.68</v>
      </c>
      <c r="AH43" s="22">
        <v>5212.6499999999996</v>
      </c>
      <c r="AI43" s="22">
        <v>5606.93</v>
      </c>
      <c r="AJ43" s="22">
        <v>5612.51</v>
      </c>
      <c r="AK43" s="36"/>
      <c r="AL43" s="36">
        <v>4.0651720000000002E-2</v>
      </c>
      <c r="AM43" s="36">
        <v>3.8517559999999999E-2</v>
      </c>
      <c r="AN43" s="36">
        <v>2.7838559999999998E-2</v>
      </c>
      <c r="AO43" s="38">
        <v>8.0359230000000004E-2</v>
      </c>
      <c r="AP43" s="38">
        <v>0.2793815</v>
      </c>
      <c r="AQ43" s="38">
        <v>5.8078320000000003E-2</v>
      </c>
      <c r="AR43" s="36">
        <v>1.6343219999999999E-2</v>
      </c>
      <c r="AS43" s="36">
        <v>1.7579399999999998E-2</v>
      </c>
      <c r="AT43" s="36">
        <v>1.7596899999999999E-2</v>
      </c>
      <c r="AU43" s="2"/>
      <c r="AV43" s="3">
        <v>6.9159869900000004</v>
      </c>
      <c r="AW43" s="3">
        <v>7.3841872400000002</v>
      </c>
      <c r="AX43" s="3">
        <v>5.0975659999999996</v>
      </c>
      <c r="AY43" s="3">
        <v>13.6713389</v>
      </c>
      <c r="AZ43" s="3">
        <v>53.560120699999999</v>
      </c>
      <c r="BA43" s="3">
        <v>10.6348211</v>
      </c>
      <c r="BB43" s="3">
        <v>2.78043511</v>
      </c>
      <c r="BC43" s="3">
        <v>3.37014024</v>
      </c>
      <c r="BD43" s="3">
        <v>3.2221976400000001</v>
      </c>
      <c r="BF43" s="5">
        <v>6.4659134099999998</v>
      </c>
      <c r="BG43" s="5">
        <v>25.955426899999996</v>
      </c>
      <c r="BH43" s="5">
        <v>3.1242576633333337</v>
      </c>
      <c r="BI43" s="5">
        <v>35.545597973333329</v>
      </c>
      <c r="BJ43" s="5"/>
      <c r="BK43" s="5">
        <v>18.190475835716125</v>
      </c>
      <c r="BL43" s="5">
        <v>73.02008794301905</v>
      </c>
      <c r="BM43" s="5">
        <v>8.78943622126482</v>
      </c>
    </row>
    <row r="44" spans="1:65" x14ac:dyDescent="0.2">
      <c r="A44" s="4" t="s">
        <v>45</v>
      </c>
      <c r="B44">
        <v>2565.08</v>
      </c>
      <c r="C44">
        <v>3628</v>
      </c>
      <c r="D44">
        <v>2099.5300000000002</v>
      </c>
      <c r="E44" s="65">
        <v>1540.16</v>
      </c>
      <c r="F44" s="66">
        <v>2020.09</v>
      </c>
      <c r="G44" s="73">
        <v>1342.25</v>
      </c>
      <c r="H44">
        <v>2474.12</v>
      </c>
      <c r="I44">
        <v>3257.77</v>
      </c>
      <c r="J44">
        <v>2159.2800000000002</v>
      </c>
      <c r="K44" s="65">
        <v>1995.27</v>
      </c>
      <c r="L44" s="66">
        <v>2607.04</v>
      </c>
      <c r="M44" s="73">
        <v>1707.04</v>
      </c>
      <c r="N44" s="38"/>
      <c r="O44" s="38">
        <v>1098.1590889630961</v>
      </c>
      <c r="P44" s="38">
        <v>1553.215172531895</v>
      </c>
      <c r="Q44" s="38">
        <v>898.84836030482074</v>
      </c>
      <c r="R44" s="63">
        <v>1181.1948769077383</v>
      </c>
      <c r="S44" s="64">
        <v>1549.2675818697751</v>
      </c>
      <c r="T44" s="72">
        <v>1029.4117647058822</v>
      </c>
      <c r="U44" s="36">
        <v>923.45476261570616</v>
      </c>
      <c r="V44" s="36">
        <v>1215.9487906837862</v>
      </c>
      <c r="W44" s="36">
        <v>805.94207226037634</v>
      </c>
      <c r="X44" s="63">
        <v>1803.878491998915</v>
      </c>
      <c r="Y44" s="64">
        <v>2356.9659162824337</v>
      </c>
      <c r="Z44" s="72">
        <v>1543.2962661603831</v>
      </c>
      <c r="AA44" s="38"/>
      <c r="AB44">
        <v>70482.22</v>
      </c>
      <c r="AC44">
        <v>95075.94</v>
      </c>
      <c r="AD44">
        <v>87945.56</v>
      </c>
      <c r="AE44">
        <v>41259.01</v>
      </c>
      <c r="AF44">
        <v>67285.27</v>
      </c>
      <c r="AG44">
        <v>41906.74</v>
      </c>
      <c r="AH44">
        <v>110401.05</v>
      </c>
      <c r="AI44">
        <v>138772.22</v>
      </c>
      <c r="AJ44">
        <v>100759.63</v>
      </c>
      <c r="AK44" s="38"/>
      <c r="AL44" s="38">
        <v>3.5241109999999999E-2</v>
      </c>
      <c r="AM44" s="38">
        <v>4.7537969999999999E-2</v>
      </c>
      <c r="AN44" s="38">
        <v>4.3972779999999996E-2</v>
      </c>
      <c r="AO44" s="36">
        <v>9.7167817510409413E-2</v>
      </c>
      <c r="AP44" s="36">
        <v>0.15846145693991748</v>
      </c>
      <c r="AQ44" s="36">
        <v>9.8693266386570444E-2</v>
      </c>
      <c r="AR44" s="36">
        <v>6.1457060226811806E-2</v>
      </c>
      <c r="AS44" s="36">
        <v>7.7250467113749166E-2</v>
      </c>
      <c r="AT44" s="36">
        <v>5.6089961547841016E-2</v>
      </c>
      <c r="AU44" s="4"/>
      <c r="AV44" s="5">
        <v>7.0388079899999996</v>
      </c>
      <c r="AW44" s="5">
        <v>7.1213692200000001</v>
      </c>
      <c r="AX44" s="5">
        <v>10.2800224</v>
      </c>
      <c r="AY44" s="5">
        <v>19.407606900000001</v>
      </c>
      <c r="AZ44" s="5">
        <v>23.738130600000002</v>
      </c>
      <c r="BA44" s="5">
        <v>23.072659699999999</v>
      </c>
      <c r="BB44" s="5">
        <v>12.274994899999999</v>
      </c>
      <c r="BC44" s="5">
        <v>11.5724146</v>
      </c>
      <c r="BD44" s="5">
        <v>13.1127953</v>
      </c>
      <c r="BF44" s="5">
        <v>8.1467332033333335</v>
      </c>
      <c r="BG44" s="5">
        <v>22.072799066666665</v>
      </c>
      <c r="BH44" s="5">
        <v>12.320068266666667</v>
      </c>
      <c r="BI44" s="5">
        <v>42.539600536666669</v>
      </c>
      <c r="BJ44" s="5"/>
      <c r="BK44" s="5">
        <v>19.150939596415164</v>
      </c>
      <c r="BL44" s="5">
        <v>51.887650067708535</v>
      </c>
      <c r="BM44" s="5">
        <v>28.961410335876291</v>
      </c>
    </row>
    <row r="45" spans="1:65" x14ac:dyDescent="0.2">
      <c r="A45" s="2" t="s">
        <v>46</v>
      </c>
      <c r="B45">
        <v>4494.05</v>
      </c>
      <c r="C45">
        <v>5043.28</v>
      </c>
      <c r="D45">
        <v>3917.43</v>
      </c>
      <c r="E45" s="65">
        <v>2213.79</v>
      </c>
      <c r="F45" s="66">
        <v>2552.9299999999998</v>
      </c>
      <c r="G45" s="73">
        <v>2074.36</v>
      </c>
      <c r="H45">
        <v>3590.97</v>
      </c>
      <c r="I45">
        <v>4136.13</v>
      </c>
      <c r="J45">
        <v>3213.83</v>
      </c>
      <c r="K45" s="65">
        <v>2761.36</v>
      </c>
      <c r="L45" s="66">
        <v>3183.91</v>
      </c>
      <c r="M45" s="73">
        <v>2522.11</v>
      </c>
      <c r="N45" s="36"/>
      <c r="O45" s="36">
        <v>1923.9874989297032</v>
      </c>
      <c r="P45" s="36">
        <v>2159.123212603819</v>
      </c>
      <c r="Q45" s="36">
        <v>1677.1256100693552</v>
      </c>
      <c r="R45" s="63">
        <v>1697.821918858808</v>
      </c>
      <c r="S45" s="64">
        <v>1957.9185520361989</v>
      </c>
      <c r="T45" s="72">
        <v>1590.8888718460005</v>
      </c>
      <c r="U45" s="36">
        <v>1340.3142729172887</v>
      </c>
      <c r="V45" s="36">
        <v>1543.792923260675</v>
      </c>
      <c r="W45" s="36">
        <v>1199.5483726485518</v>
      </c>
      <c r="X45" s="63">
        <v>2496.4831389566948</v>
      </c>
      <c r="Y45" s="64">
        <v>2878.501039688997</v>
      </c>
      <c r="Z45" s="72">
        <v>2280.1826236325828</v>
      </c>
      <c r="AA45" s="36"/>
      <c r="AB45">
        <v>45663</v>
      </c>
      <c r="AC45">
        <v>51080</v>
      </c>
      <c r="AD45">
        <v>44493</v>
      </c>
      <c r="AE45" s="21">
        <v>17772</v>
      </c>
      <c r="AF45">
        <v>50489</v>
      </c>
      <c r="AG45">
        <v>32337</v>
      </c>
      <c r="AH45">
        <v>42295</v>
      </c>
      <c r="AI45">
        <v>58960</v>
      </c>
      <c r="AJ45">
        <v>39361</v>
      </c>
      <c r="AK45" s="36"/>
      <c r="AL45" s="36">
        <v>0.11114626968846525</v>
      </c>
      <c r="AM45" s="36">
        <v>0.12433154754805434</v>
      </c>
      <c r="AN45" s="36">
        <v>0.10829842492277959</v>
      </c>
      <c r="AO45" s="36">
        <v>8.5787519972195803E-2</v>
      </c>
      <c r="AP45" s="36">
        <v>0.24371630069076042</v>
      </c>
      <c r="AQ45" s="36">
        <v>0.15609447633023271</v>
      </c>
      <c r="AR45" s="36">
        <v>6.6303731790987877E-2</v>
      </c>
      <c r="AS45" s="36">
        <v>9.2428609206682708E-2</v>
      </c>
      <c r="AT45" s="36">
        <v>6.1704248422392097E-2</v>
      </c>
      <c r="AU45" s="2"/>
      <c r="AV45" s="3">
        <v>14.9017467</v>
      </c>
      <c r="AW45" s="3">
        <v>14.559861740000001</v>
      </c>
      <c r="AX45" s="3">
        <v>16.049571709999999</v>
      </c>
      <c r="AY45" s="3">
        <v>11.501815499999999</v>
      </c>
      <c r="AZ45" s="3">
        <v>28.540428500000001</v>
      </c>
      <c r="BA45" s="3">
        <v>23.132833999999999</v>
      </c>
      <c r="BB45" s="3">
        <v>8.8895598499999995</v>
      </c>
      <c r="BC45" s="3">
        <v>10.8238641</v>
      </c>
      <c r="BD45" s="3">
        <v>9.1444244000000001</v>
      </c>
      <c r="BF45" s="5">
        <v>15.170393383333334</v>
      </c>
      <c r="BG45" s="5">
        <v>21.058359333333332</v>
      </c>
      <c r="BH45" s="5">
        <v>9.6192827833333325</v>
      </c>
      <c r="BI45" s="5">
        <v>45.848035499999995</v>
      </c>
      <c r="BJ45" s="5"/>
      <c r="BK45" s="5">
        <v>33.088426184221866</v>
      </c>
      <c r="BL45" s="5">
        <v>45.930777848340597</v>
      </c>
      <c r="BM45" s="5">
        <v>20.980795967437544</v>
      </c>
    </row>
    <row r="46" spans="1:65" x14ac:dyDescent="0.2">
      <c r="A46" s="2" t="s">
        <v>47</v>
      </c>
      <c r="B46">
        <v>2779.75</v>
      </c>
      <c r="C46">
        <v>3228.69</v>
      </c>
      <c r="D46">
        <v>2638.96</v>
      </c>
      <c r="E46" s="65">
        <v>1494.31</v>
      </c>
      <c r="F46" s="66">
        <v>1683.06</v>
      </c>
      <c r="G46" s="73">
        <v>1342.15</v>
      </c>
      <c r="H46">
        <v>2417.2199999999998</v>
      </c>
      <c r="I46">
        <v>2739.9</v>
      </c>
      <c r="J46">
        <v>2164.84</v>
      </c>
      <c r="K46" s="65">
        <v>1863.96</v>
      </c>
      <c r="L46" s="66">
        <v>2088.04</v>
      </c>
      <c r="M46" s="73">
        <v>1573.93</v>
      </c>
      <c r="N46" s="36"/>
      <c r="O46" s="36">
        <v>1190.0633615891772</v>
      </c>
      <c r="P46" s="36">
        <v>1382.2630362188545</v>
      </c>
      <c r="Q46" s="36">
        <v>1129.788509290179</v>
      </c>
      <c r="R46" s="63">
        <v>1146.0311373571592</v>
      </c>
      <c r="S46" s="64">
        <v>1290.7891709486923</v>
      </c>
      <c r="T46" s="72">
        <v>1029.3350717079531</v>
      </c>
      <c r="U46" s="36">
        <v>902.21707972529111</v>
      </c>
      <c r="V46" s="36">
        <v>1022.6560167214095</v>
      </c>
      <c r="W46" s="36">
        <v>808.01731860256803</v>
      </c>
      <c r="X46" s="63">
        <v>1685.164090046108</v>
      </c>
      <c r="Y46" s="64">
        <v>1887.7497513787177</v>
      </c>
      <c r="Z46" s="72">
        <v>1422.9545249073319</v>
      </c>
      <c r="AA46" s="36"/>
      <c r="AB46">
        <v>20981</v>
      </c>
      <c r="AC46">
        <v>31873</v>
      </c>
      <c r="AD46">
        <v>19484</v>
      </c>
      <c r="AE46" s="21">
        <v>21193</v>
      </c>
      <c r="AF46">
        <v>52681</v>
      </c>
      <c r="AG46">
        <v>28347</v>
      </c>
      <c r="AH46">
        <v>28651</v>
      </c>
      <c r="AI46">
        <v>27280</v>
      </c>
      <c r="AJ46">
        <v>23344</v>
      </c>
      <c r="AK46" s="36"/>
      <c r="AL46" s="36">
        <v>5.1068915409274239E-2</v>
      </c>
      <c r="AM46" s="36">
        <v>7.7580646339059048E-2</v>
      </c>
      <c r="AN46" s="36">
        <v>4.7425134542409764E-2</v>
      </c>
      <c r="AO46" s="36">
        <v>0.10230108658399424</v>
      </c>
      <c r="AP46" s="36">
        <v>0.25429734074134858</v>
      </c>
      <c r="AQ46" s="36">
        <v>0.13683428025274783</v>
      </c>
      <c r="AR46" s="36">
        <v>4.4914723242548617E-2</v>
      </c>
      <c r="AS46" s="36">
        <v>4.2765475901599466E-2</v>
      </c>
      <c r="AT46" s="36">
        <v>3.6595207824301243E-2</v>
      </c>
      <c r="AU46" s="2"/>
      <c r="AV46" s="3">
        <v>10.372533300000001</v>
      </c>
      <c r="AW46" s="3">
        <v>13.894731</v>
      </c>
      <c r="AX46" s="3">
        <v>10.802757099999999</v>
      </c>
      <c r="AY46" s="3">
        <v>20.778225299999999</v>
      </c>
      <c r="AZ46" s="3">
        <v>45.544775600000001</v>
      </c>
      <c r="BA46" s="3">
        <v>31.168862399999998</v>
      </c>
      <c r="BB46" s="3">
        <v>9.1225642699999998</v>
      </c>
      <c r="BC46" s="3">
        <v>7.65931724</v>
      </c>
      <c r="BD46" s="3">
        <v>8.3358570299999997</v>
      </c>
      <c r="BF46" s="5">
        <v>11.690007133333333</v>
      </c>
      <c r="BG46" s="5">
        <v>32.497287766666666</v>
      </c>
      <c r="BH46" s="5">
        <v>8.3725795133333332</v>
      </c>
      <c r="BI46" s="5">
        <v>52.559874413333333</v>
      </c>
      <c r="BJ46" s="5"/>
      <c r="BK46" s="5">
        <v>22.241314812517558</v>
      </c>
      <c r="BL46" s="5">
        <v>61.829081841228273</v>
      </c>
      <c r="BM46" s="5">
        <v>15.929603346254165</v>
      </c>
    </row>
    <row r="47" spans="1:65" x14ac:dyDescent="0.2">
      <c r="A47" s="2" t="s">
        <v>48</v>
      </c>
      <c r="B47">
        <v>4722.2299999999996</v>
      </c>
      <c r="C47">
        <v>3076.68</v>
      </c>
      <c r="D47">
        <v>3500.58</v>
      </c>
      <c r="E47" s="65">
        <v>2351.2800000000002</v>
      </c>
      <c r="F47" s="66">
        <v>1536.45</v>
      </c>
      <c r="G47" s="73">
        <v>1795.85</v>
      </c>
      <c r="H47">
        <v>3814.41</v>
      </c>
      <c r="I47">
        <v>2482.9699999999998</v>
      </c>
      <c r="J47">
        <v>2910.07</v>
      </c>
      <c r="K47" s="65">
        <v>3104.99</v>
      </c>
      <c r="L47" s="66">
        <v>2014.87</v>
      </c>
      <c r="M47" s="73">
        <v>2279.61</v>
      </c>
      <c r="N47" s="36"/>
      <c r="O47" s="36">
        <v>2021.6756571624283</v>
      </c>
      <c r="P47" s="36">
        <v>1317.1846904700744</v>
      </c>
      <c r="Q47" s="36">
        <v>1498.6642692011303</v>
      </c>
      <c r="R47" s="63">
        <v>1803.2671217117877</v>
      </c>
      <c r="S47" s="64">
        <v>1178.3495666845618</v>
      </c>
      <c r="T47" s="72">
        <v>1377.2912033131374</v>
      </c>
      <c r="U47" s="36">
        <v>1423.7123021797552</v>
      </c>
      <c r="V47" s="36">
        <v>926.75798745894292</v>
      </c>
      <c r="W47" s="36">
        <v>1086.1712451478054</v>
      </c>
      <c r="X47" s="63">
        <v>2807.1512521471832</v>
      </c>
      <c r="Y47" s="64">
        <v>1821.5984088237951</v>
      </c>
      <c r="Z47" s="72">
        <v>2060.9438567941415</v>
      </c>
      <c r="AA47" s="36"/>
      <c r="AB47">
        <v>28210</v>
      </c>
      <c r="AC47">
        <v>19293</v>
      </c>
      <c r="AD47">
        <v>22801</v>
      </c>
      <c r="AE47" s="21">
        <v>28347</v>
      </c>
      <c r="AF47">
        <v>17558</v>
      </c>
      <c r="AG47">
        <v>21678</v>
      </c>
      <c r="AH47">
        <v>36750</v>
      </c>
      <c r="AI47">
        <v>23634</v>
      </c>
      <c r="AJ47">
        <v>27988</v>
      </c>
      <c r="AK47" s="36"/>
      <c r="AL47" s="36">
        <v>6.8664701572643164E-2</v>
      </c>
      <c r="AM47" s="36">
        <v>4.6960229969549967E-2</v>
      </c>
      <c r="AN47" s="36">
        <v>5.5498896155896378E-2</v>
      </c>
      <c r="AO47" s="36">
        <v>0.13683428025274783</v>
      </c>
      <c r="AP47" s="36">
        <v>8.4754516974556271E-2</v>
      </c>
      <c r="AQ47" s="36">
        <v>0.10464223823752311</v>
      </c>
      <c r="AR47" s="36">
        <v>5.7611115813188424E-2</v>
      </c>
      <c r="AS47" s="36">
        <v>3.7049826153167216E-2</v>
      </c>
      <c r="AT47" s="36">
        <v>4.3875371683796398E-2</v>
      </c>
      <c r="AU47" s="2"/>
      <c r="AV47" s="3">
        <v>8.5236286400000001</v>
      </c>
      <c r="AW47" s="3">
        <v>8.9552267699999994</v>
      </c>
      <c r="AX47" s="3">
        <v>9.2143858299999994</v>
      </c>
      <c r="AY47" s="3">
        <v>16.985795700000001</v>
      </c>
      <c r="AZ47" s="3">
        <v>16.162525599999999</v>
      </c>
      <c r="BA47" s="3">
        <v>17.373570000000001</v>
      </c>
      <c r="BB47" s="3">
        <v>7.1515020900000001</v>
      </c>
      <c r="BC47" s="3">
        <v>7.0653315599999997</v>
      </c>
      <c r="BD47" s="3">
        <v>7.2845521499999997</v>
      </c>
      <c r="BF47" s="5">
        <v>8.8977470800000003</v>
      </c>
      <c r="BG47" s="5">
        <v>16.840630433333335</v>
      </c>
      <c r="BH47" s="5">
        <v>7.1671286000000007</v>
      </c>
      <c r="BI47" s="5">
        <v>32.905506113333331</v>
      </c>
      <c r="BJ47" s="5"/>
      <c r="BK47" s="5">
        <v>27.040298512213518</v>
      </c>
      <c r="BL47" s="5">
        <v>51.178761315297017</v>
      </c>
      <c r="BM47" s="5">
        <v>21.78094017248948</v>
      </c>
    </row>
    <row r="48" spans="1:65" x14ac:dyDescent="0.2">
      <c r="A48" s="2" t="s">
        <v>49</v>
      </c>
      <c r="B48">
        <v>1553.99</v>
      </c>
      <c r="C48">
        <v>1701.84</v>
      </c>
      <c r="D48">
        <v>1493.76</v>
      </c>
      <c r="E48" s="65">
        <v>886.16</v>
      </c>
      <c r="F48" s="66">
        <v>1047.02</v>
      </c>
      <c r="G48" s="73">
        <v>954.92</v>
      </c>
      <c r="H48">
        <v>1427.13</v>
      </c>
      <c r="I48">
        <v>1689.9</v>
      </c>
      <c r="J48">
        <v>1536.13</v>
      </c>
      <c r="K48" s="65">
        <v>1114.75</v>
      </c>
      <c r="L48" s="66">
        <v>1315.83</v>
      </c>
      <c r="M48" s="73">
        <v>1167.73</v>
      </c>
      <c r="N48" s="36"/>
      <c r="O48" s="36">
        <v>665.29240517167568</v>
      </c>
      <c r="P48" s="36">
        <v>728.58977652196245</v>
      </c>
      <c r="Q48" s="36">
        <v>639.50680708964808</v>
      </c>
      <c r="R48" s="63">
        <v>679.6226704501878</v>
      </c>
      <c r="S48" s="64">
        <v>802.99102691924224</v>
      </c>
      <c r="T48" s="72">
        <v>732.35677582636697</v>
      </c>
      <c r="U48" s="36">
        <v>532.67020005971938</v>
      </c>
      <c r="V48" s="36">
        <v>630.74798447297712</v>
      </c>
      <c r="W48" s="36">
        <v>573.35398626455662</v>
      </c>
      <c r="X48" s="63">
        <v>1007.8202694150618</v>
      </c>
      <c r="Y48" s="64">
        <v>1189.6121508001083</v>
      </c>
      <c r="Z48" s="72">
        <v>1055.7182894855798</v>
      </c>
      <c r="AA48" s="36"/>
      <c r="AB48">
        <f>2775.15+3348.61</f>
        <v>6123.76</v>
      </c>
      <c r="AC48">
        <f>5295.44+1735.83</f>
        <v>7031.2699999999995</v>
      </c>
      <c r="AD48">
        <f>7401.89</f>
        <v>7401.89</v>
      </c>
      <c r="AE48" s="21">
        <v>7525.28</v>
      </c>
      <c r="AF48">
        <v>8164.49</v>
      </c>
      <c r="AG48">
        <v>6703.7</v>
      </c>
      <c r="AH48">
        <f>2208.38+1263.79+676.63</f>
        <v>4148.8</v>
      </c>
      <c r="AI48">
        <f>6070.35+1433.25</f>
        <v>7503.6</v>
      </c>
      <c r="AJ48">
        <f>2481.53+1927.7</f>
        <v>4409.2300000000005</v>
      </c>
      <c r="AK48" s="36"/>
      <c r="AL48" s="36">
        <v>1.4905570822491646E-2</v>
      </c>
      <c r="AM48" s="36">
        <v>1.7114500397968049E-2</v>
      </c>
      <c r="AN48" s="36">
        <v>1.8016609993744478E-2</v>
      </c>
      <c r="AO48" s="36">
        <v>3.6325405598490075E-2</v>
      </c>
      <c r="AP48" s="36">
        <v>3.9410946935504891E-2</v>
      </c>
      <c r="AQ48" s="36">
        <v>3.2359542968580297E-2</v>
      </c>
      <c r="AR48" s="36">
        <v>1.3007727743442511E-2</v>
      </c>
      <c r="AS48" s="36">
        <v>2.352602822399133E-2</v>
      </c>
      <c r="AT48" s="36">
        <v>1.3824253615074004E-2</v>
      </c>
      <c r="AU48" s="2"/>
      <c r="AV48" s="3">
        <v>5.1658495100000001</v>
      </c>
      <c r="AW48" s="3">
        <v>5.10584784</v>
      </c>
      <c r="AX48" s="3">
        <v>6.0036638</v>
      </c>
      <c r="AY48" s="3">
        <v>12.589358799999999</v>
      </c>
      <c r="AZ48" s="3">
        <v>11.757649600000001</v>
      </c>
      <c r="BA48" s="3">
        <v>10.7831505</v>
      </c>
      <c r="BB48" s="3">
        <v>4.5081107500000002</v>
      </c>
      <c r="BC48" s="3">
        <v>7.0186285100000001</v>
      </c>
      <c r="BD48" s="3">
        <v>4.6066474800000003</v>
      </c>
      <c r="BF48" s="5">
        <v>5.4251203833333337</v>
      </c>
      <c r="BG48" s="5">
        <v>11.710052966666666</v>
      </c>
      <c r="BH48" s="5">
        <v>5.3777955799999999</v>
      </c>
      <c r="BI48" s="5">
        <v>22.51296893</v>
      </c>
      <c r="BJ48" s="5"/>
      <c r="BK48" s="5">
        <v>24.097756276401231</v>
      </c>
      <c r="BL48" s="5">
        <v>52.014698741320863</v>
      </c>
      <c r="BM48" s="5">
        <v>23.887544982277912</v>
      </c>
    </row>
    <row r="49" spans="1:65" x14ac:dyDescent="0.2">
      <c r="A49" s="2" t="s">
        <v>50</v>
      </c>
      <c r="B49">
        <v>1442.32</v>
      </c>
      <c r="C49">
        <v>2720.99</v>
      </c>
      <c r="D49">
        <v>1823.35</v>
      </c>
      <c r="E49" s="65">
        <v>897.22</v>
      </c>
      <c r="F49" s="66">
        <v>1405.43</v>
      </c>
      <c r="G49" s="73">
        <v>1077.24</v>
      </c>
      <c r="H49">
        <v>1449.49</v>
      </c>
      <c r="I49">
        <v>2278.02</v>
      </c>
      <c r="J49">
        <v>1697.3</v>
      </c>
      <c r="K49" s="65">
        <v>1164.07</v>
      </c>
      <c r="L49" s="66">
        <v>1816.23</v>
      </c>
      <c r="M49" s="73">
        <v>1338.81</v>
      </c>
      <c r="N49" s="36"/>
      <c r="O49" s="36">
        <v>617.48437366212863</v>
      </c>
      <c r="P49" s="36">
        <v>1164.9070982104631</v>
      </c>
      <c r="Q49" s="36">
        <v>780.61049747409879</v>
      </c>
      <c r="R49" s="63">
        <v>688.10491602116724</v>
      </c>
      <c r="S49" s="64">
        <v>1077.8664007976072</v>
      </c>
      <c r="T49" s="72">
        <v>826.16765089347336</v>
      </c>
      <c r="U49" s="36">
        <v>541.01597491788596</v>
      </c>
      <c r="V49" s="36">
        <v>850.26127202149905</v>
      </c>
      <c r="W49" s="36">
        <v>633.51000298596603</v>
      </c>
      <c r="X49" s="63">
        <v>1052.4093662417501</v>
      </c>
      <c r="Y49" s="64">
        <v>1642.0124762679684</v>
      </c>
      <c r="Z49" s="72">
        <v>1210.3878491998914</v>
      </c>
      <c r="AA49" s="36"/>
      <c r="AB49">
        <v>3442.93</v>
      </c>
      <c r="AC49">
        <v>11590.67</v>
      </c>
      <c r="AD49">
        <f>4235.38+1261.57</f>
        <v>5496.95</v>
      </c>
      <c r="AE49" s="21">
        <v>7775.65</v>
      </c>
      <c r="AF49">
        <v>19762.810000000001</v>
      </c>
      <c r="AG49">
        <v>6962.51</v>
      </c>
      <c r="AH49">
        <f>576.79+128.84</f>
        <v>705.63</v>
      </c>
      <c r="AI49">
        <f>1069.56+4145.24</f>
        <v>5214.7999999999993</v>
      </c>
      <c r="AJ49">
        <v>2698.16</v>
      </c>
      <c r="AK49" s="36"/>
      <c r="AL49" s="36">
        <v>8.3802822043778924E-3</v>
      </c>
      <c r="AM49" s="36">
        <v>2.8212332384863096E-2</v>
      </c>
      <c r="AN49" s="36">
        <v>1.337988058524427E-2</v>
      </c>
      <c r="AO49" s="36">
        <v>3.7533970834560226E-2</v>
      </c>
      <c r="AP49" s="36">
        <v>9.5397392391498484E-2</v>
      </c>
      <c r="AQ49" s="36">
        <v>3.3608849070538661E-2</v>
      </c>
      <c r="AR49" s="36">
        <v>2.2123609061910285E-3</v>
      </c>
      <c r="AS49" s="36">
        <v>1.634995628531238E-2</v>
      </c>
      <c r="AT49" s="36">
        <v>8.4595378635380931E-3</v>
      </c>
      <c r="AU49" s="2"/>
      <c r="AV49" s="3">
        <v>2.8907347099999998</v>
      </c>
      <c r="AW49" s="3">
        <v>5.9581944800000004</v>
      </c>
      <c r="AX49" s="3">
        <v>3.8774665000000001</v>
      </c>
      <c r="AY49" s="3">
        <v>12.9471478</v>
      </c>
      <c r="AZ49" s="3">
        <v>20.147083500000001</v>
      </c>
      <c r="BA49" s="3">
        <v>9.7397869499999992</v>
      </c>
      <c r="BB49" s="3">
        <v>0.76314236999999996</v>
      </c>
      <c r="BC49" s="3">
        <v>3.4529658200000002</v>
      </c>
      <c r="BD49" s="3">
        <v>2.4515595999999999</v>
      </c>
      <c r="BF49" s="5">
        <v>4.2421318966666668</v>
      </c>
      <c r="BG49" s="5">
        <v>14.278006083333333</v>
      </c>
      <c r="BH49" s="5">
        <v>2.22255593</v>
      </c>
      <c r="BI49" s="5">
        <v>20.74269391</v>
      </c>
      <c r="BJ49" s="5"/>
      <c r="BK49" s="5">
        <v>20.451210026396552</v>
      </c>
      <c r="BL49" s="5">
        <v>68.833904338963137</v>
      </c>
      <c r="BM49" s="5">
        <v>10.714885634640307</v>
      </c>
    </row>
    <row r="50" spans="1:65" x14ac:dyDescent="0.2">
      <c r="A50" s="2" t="s">
        <v>51</v>
      </c>
      <c r="B50">
        <v>2233.88</v>
      </c>
      <c r="C50">
        <v>1615.62</v>
      </c>
      <c r="D50">
        <v>2053.73</v>
      </c>
      <c r="E50" s="65">
        <v>1204.67</v>
      </c>
      <c r="F50" s="66">
        <v>1034.5899999999999</v>
      </c>
      <c r="G50" s="73">
        <v>1738.21</v>
      </c>
      <c r="H50">
        <v>1928.43</v>
      </c>
      <c r="I50">
        <v>1656.26</v>
      </c>
      <c r="J50">
        <v>1837.37</v>
      </c>
      <c r="K50" s="65">
        <v>1539.51</v>
      </c>
      <c r="L50" s="66">
        <v>1234.3399999999999</v>
      </c>
      <c r="M50" s="73">
        <v>1514.06</v>
      </c>
      <c r="N50" s="36"/>
      <c r="O50" s="36">
        <v>956.3661272369211</v>
      </c>
      <c r="P50" s="36">
        <v>691.67736963781147</v>
      </c>
      <c r="Q50" s="36">
        <v>879.24051716756583</v>
      </c>
      <c r="R50" s="63">
        <v>923.89753815476649</v>
      </c>
      <c r="S50" s="64">
        <v>793.45808727663155</v>
      </c>
      <c r="T50" s="72">
        <v>1333.0853593066952</v>
      </c>
      <c r="U50" s="36">
        <v>719.77829202747091</v>
      </c>
      <c r="V50" s="36">
        <v>618.19199761122729</v>
      </c>
      <c r="W50" s="36">
        <v>685.79053448790683</v>
      </c>
      <c r="X50" s="63">
        <v>1391.8361811771088</v>
      </c>
      <c r="Y50" s="64">
        <v>1115.9388843685017</v>
      </c>
      <c r="Z50" s="72">
        <v>1368.8274116264352</v>
      </c>
      <c r="AA50" s="36"/>
      <c r="AB50">
        <v>8636.27</v>
      </c>
      <c r="AC50">
        <f>3441.39+1293.27</f>
        <v>4734.66</v>
      </c>
      <c r="AD50">
        <v>9619.66</v>
      </c>
      <c r="AE50" s="21">
        <v>8378.0499999999993</v>
      </c>
      <c r="AF50">
        <v>5510.32</v>
      </c>
      <c r="AG50">
        <v>9967.1</v>
      </c>
      <c r="AH50">
        <f>1717.61+579.97+398.28+293.38</f>
        <v>2989.24</v>
      </c>
      <c r="AI50">
        <f>1969.16+200.81</f>
        <v>2169.9700000000003</v>
      </c>
      <c r="AJ50">
        <f>374.37+384.99+142.32</f>
        <v>901.68000000000006</v>
      </c>
      <c r="AK50" s="36"/>
      <c r="AL50" s="36">
        <v>2.102115924320351E-2</v>
      </c>
      <c r="AM50" s="36">
        <v>1.1524424528462626E-2</v>
      </c>
      <c r="AN50" s="36">
        <v>2.3414784939039084E-2</v>
      </c>
      <c r="AO50" s="36">
        <v>4.0441826001747415E-2</v>
      </c>
      <c r="AP50" s="36">
        <v>2.6598958308192099E-2</v>
      </c>
      <c r="AQ50" s="36">
        <v>4.8112355970902139E-2</v>
      </c>
      <c r="AR50" s="36">
        <v>9.3721606439953944E-3</v>
      </c>
      <c r="AS50" s="36">
        <v>6.8035043799262312E-3</v>
      </c>
      <c r="AT50" s="36">
        <v>2.8270362398060268E-3</v>
      </c>
      <c r="AU50" s="2"/>
      <c r="AV50" s="3">
        <v>5.2659822099999998</v>
      </c>
      <c r="AW50" s="3">
        <v>3.5798294799999999</v>
      </c>
      <c r="AX50" s="3">
        <v>5.4874837599999999</v>
      </c>
      <c r="AY50" s="3">
        <v>10.1310272</v>
      </c>
      <c r="AZ50" s="3">
        <v>8.2624286100000006</v>
      </c>
      <c r="BA50" s="3">
        <v>11.275601</v>
      </c>
      <c r="BB50" s="3">
        <v>2.3478072999999999</v>
      </c>
      <c r="BC50" s="3">
        <v>2.1133710799999998</v>
      </c>
      <c r="BD50" s="3">
        <v>0.66254358000000002</v>
      </c>
      <c r="BF50" s="5">
        <v>4.7777651499999996</v>
      </c>
      <c r="BG50" s="5">
        <v>9.8896856033333336</v>
      </c>
      <c r="BH50" s="5">
        <v>1.7079073200000001</v>
      </c>
      <c r="BI50" s="5">
        <v>16.375358073333334</v>
      </c>
      <c r="BJ50" s="5"/>
      <c r="BK50" s="5">
        <v>29.17655374987136</v>
      </c>
      <c r="BL50" s="5">
        <v>60.39370595161715</v>
      </c>
      <c r="BM50" s="5">
        <v>10.429740298511483</v>
      </c>
    </row>
    <row r="51" spans="1:65" x14ac:dyDescent="0.2">
      <c r="A51" s="2" t="s">
        <v>52</v>
      </c>
      <c r="B51">
        <v>5456.36</v>
      </c>
      <c r="C51">
        <v>3231.58</v>
      </c>
      <c r="D51">
        <v>2419.2399999999998</v>
      </c>
      <c r="E51" s="65">
        <v>2895.87</v>
      </c>
      <c r="F51" s="66">
        <v>1879.38</v>
      </c>
      <c r="G51" s="73">
        <v>1388.42</v>
      </c>
      <c r="H51">
        <v>4651.75</v>
      </c>
      <c r="I51">
        <v>3009.37</v>
      </c>
      <c r="J51">
        <v>2220.75</v>
      </c>
      <c r="K51" s="65">
        <v>3522.88</v>
      </c>
      <c r="L51" s="66">
        <v>2404.5100000000002</v>
      </c>
      <c r="M51" s="73">
        <v>1754.35</v>
      </c>
      <c r="N51" s="36"/>
      <c r="O51" s="36">
        <v>2335.9705454234095</v>
      </c>
      <c r="P51" s="36">
        <v>1383.500299683192</v>
      </c>
      <c r="Q51" s="36">
        <v>1035.7222364928505</v>
      </c>
      <c r="R51" s="63">
        <v>2220.9295191349029</v>
      </c>
      <c r="S51" s="64">
        <v>1441.3528644834728</v>
      </c>
      <c r="T51" s="72">
        <v>1064.820921849835</v>
      </c>
      <c r="U51" s="36">
        <v>1736.2458942968051</v>
      </c>
      <c r="V51" s="36">
        <v>1123.2345476261571</v>
      </c>
      <c r="W51" s="36">
        <v>828.88548820543451</v>
      </c>
      <c r="X51" s="63">
        <v>3184.956152246632</v>
      </c>
      <c r="Y51" s="64">
        <v>2173.8631226833018</v>
      </c>
      <c r="Z51" s="72">
        <v>1586.0681674351322</v>
      </c>
      <c r="AA51" s="36"/>
      <c r="AB51" s="21">
        <v>17923.79</v>
      </c>
      <c r="AC51">
        <v>8730.57</v>
      </c>
      <c r="AD51">
        <v>7613.53</v>
      </c>
      <c r="AE51">
        <v>32781.21</v>
      </c>
      <c r="AF51">
        <v>13633.72</v>
      </c>
      <c r="AG51">
        <v>10127.41</v>
      </c>
      <c r="AH51" s="36">
        <v>10850.49</v>
      </c>
      <c r="AI51" s="36">
        <v>7105.94</v>
      </c>
      <c r="AJ51" s="36">
        <v>5858.73</v>
      </c>
      <c r="AK51" s="36"/>
      <c r="AL51" s="36">
        <v>4.3627497036537607E-2</v>
      </c>
      <c r="AM51" s="36">
        <v>2.1250690663207061E-2</v>
      </c>
      <c r="AN51" s="36">
        <v>1.8531753469137394E-2</v>
      </c>
      <c r="AO51" s="36">
        <v>0.15823872988902457</v>
      </c>
      <c r="AP51" s="36">
        <v>6.5811559013916568E-2</v>
      </c>
      <c r="AQ51" s="36">
        <v>4.8886191066937631E-2</v>
      </c>
      <c r="AR51" s="36">
        <v>3.4019528490875806E-2</v>
      </c>
      <c r="AS51" s="36">
        <v>2.2279245295323435E-2</v>
      </c>
      <c r="AT51" s="36">
        <v>1.8368869254323884E-2</v>
      </c>
      <c r="AU51" s="36"/>
      <c r="AV51" s="3">
        <v>4.6029781600000002</v>
      </c>
      <c r="AW51" s="3">
        <v>3.4712285700000001</v>
      </c>
      <c r="AX51" s="3">
        <v>4.1040342299999999</v>
      </c>
      <c r="AY51" s="3">
        <v>16.6951915</v>
      </c>
      <c r="AZ51" s="3">
        <v>10.750095999999999</v>
      </c>
      <c r="BA51" s="3">
        <v>10.826314999999999</v>
      </c>
      <c r="BB51" s="3">
        <v>3.58927643</v>
      </c>
      <c r="BC51" s="3">
        <v>3.6392395</v>
      </c>
      <c r="BD51" s="3">
        <v>4.0679619599999999</v>
      </c>
      <c r="BF51" s="5">
        <v>4.0594136533333334</v>
      </c>
      <c r="BG51" s="5">
        <v>12.757200833333334</v>
      </c>
      <c r="BH51" s="5">
        <v>3.7654926300000002</v>
      </c>
      <c r="BI51" s="5">
        <v>20.582107116666666</v>
      </c>
      <c r="BJ51" s="5"/>
      <c r="BK51" s="5">
        <v>19.723022673641431</v>
      </c>
      <c r="BL51" s="5">
        <v>61.981996114494045</v>
      </c>
      <c r="BM51" s="5">
        <v>18.294981211864535</v>
      </c>
    </row>
    <row r="52" spans="1:65" x14ac:dyDescent="0.2">
      <c r="A52" s="2" t="s">
        <v>53</v>
      </c>
      <c r="B52">
        <v>7019.97</v>
      </c>
      <c r="C52">
        <v>5384.38</v>
      </c>
      <c r="D52">
        <v>6717.38</v>
      </c>
      <c r="E52" s="65">
        <v>4246.37</v>
      </c>
      <c r="F52" s="66">
        <v>3616.8</v>
      </c>
      <c r="G52" s="73">
        <v>4087.43</v>
      </c>
      <c r="H52">
        <v>6757.68</v>
      </c>
      <c r="I52">
        <v>5741.38</v>
      </c>
      <c r="J52">
        <v>6538.4</v>
      </c>
      <c r="K52" s="65">
        <v>5357.66</v>
      </c>
      <c r="L52" s="66">
        <v>4469.51</v>
      </c>
      <c r="M52" s="73">
        <v>5119.38</v>
      </c>
      <c r="N52" s="36"/>
      <c r="O52" s="36">
        <v>3005.3814538916004</v>
      </c>
      <c r="P52" s="36">
        <v>2305.1545509033308</v>
      </c>
      <c r="Q52" s="36">
        <v>2875.8369723435226</v>
      </c>
      <c r="R52" s="63">
        <v>3256.6684561699512</v>
      </c>
      <c r="S52" s="64">
        <v>2773.8323491065266</v>
      </c>
      <c r="T52" s="72">
        <v>3134.7726052611392</v>
      </c>
      <c r="U52" s="36">
        <v>2522.2753060615114</v>
      </c>
      <c r="V52" s="36">
        <v>2142.9456554195285</v>
      </c>
      <c r="W52" s="36">
        <v>2440.4299790982382</v>
      </c>
      <c r="X52" s="63">
        <v>4843.7392640810049</v>
      </c>
      <c r="Y52" s="64">
        <v>4040.7829310188949</v>
      </c>
      <c r="Z52" s="72">
        <v>4628.3157038242471</v>
      </c>
      <c r="AA52" s="36"/>
      <c r="AB52">
        <v>54417.31</v>
      </c>
      <c r="AC52">
        <v>30599.58</v>
      </c>
      <c r="AD52">
        <v>44051.81</v>
      </c>
      <c r="AE52" s="21">
        <v>42914.18</v>
      </c>
      <c r="AF52" s="21">
        <v>35654.04</v>
      </c>
      <c r="AG52">
        <v>42484.03</v>
      </c>
      <c r="AH52">
        <f>14525.86+4147.84</f>
        <v>18673.7</v>
      </c>
      <c r="AI52">
        <f>9767.22+1276.42</f>
        <v>11043.64</v>
      </c>
      <c r="AJ52">
        <f>3847.37+5912.64</f>
        <v>9760.01</v>
      </c>
      <c r="AK52" s="36"/>
      <c r="AL52" s="36">
        <v>0.13245474482580682</v>
      </c>
      <c r="AM52" s="36">
        <v>7.4481071568529622E-2</v>
      </c>
      <c r="AN52" s="36">
        <v>0.10722454404058057</v>
      </c>
      <c r="AO52" s="36">
        <v>0.20715175972543359</v>
      </c>
      <c r="AP52" s="36">
        <v>0.17210621587831804</v>
      </c>
      <c r="AQ52" s="36">
        <v>0.20507537542901</v>
      </c>
      <c r="AR52" s="36">
        <v>5.8547629570652342E-2</v>
      </c>
      <c r="AS52" s="36">
        <v>3.4625111457913478E-2</v>
      </c>
      <c r="AT52" s="36">
        <v>3.0600547833898078E-2</v>
      </c>
      <c r="AU52" s="2"/>
      <c r="AV52" s="3">
        <v>9.7192631400000007</v>
      </c>
      <c r="AW52" s="3">
        <v>6.6130651800000004</v>
      </c>
      <c r="AX52" s="3">
        <v>8.1979992100000008</v>
      </c>
      <c r="AY52" s="3">
        <v>15.2003801</v>
      </c>
      <c r="AZ52" s="3">
        <v>15.2810586</v>
      </c>
      <c r="BA52" s="3">
        <v>15.6793184</v>
      </c>
      <c r="BB52" s="3">
        <v>4.2961074699999999</v>
      </c>
      <c r="BC52" s="3">
        <v>3.0743128999999998</v>
      </c>
      <c r="BD52" s="3">
        <v>2.3396067500000002</v>
      </c>
      <c r="BF52" s="5">
        <v>8.1767758433333331</v>
      </c>
      <c r="BG52" s="5">
        <v>15.386919033333333</v>
      </c>
      <c r="BH52" s="5">
        <v>3.2366757066666665</v>
      </c>
      <c r="BI52" s="5">
        <v>26.800370583333333</v>
      </c>
      <c r="BJ52" s="5"/>
      <c r="BK52" s="5">
        <v>30.50993574103159</v>
      </c>
      <c r="BL52" s="5">
        <v>57.413083097075457</v>
      </c>
      <c r="BM52" s="5">
        <v>12.076981161892951</v>
      </c>
    </row>
    <row r="53" spans="1:65" x14ac:dyDescent="0.2">
      <c r="A53" s="2" t="s">
        <v>54</v>
      </c>
      <c r="B53">
        <v>3363.99</v>
      </c>
      <c r="C53">
        <v>4888.5</v>
      </c>
      <c r="D53">
        <v>1049.1600000000001</v>
      </c>
      <c r="E53" s="65">
        <v>2333</v>
      </c>
      <c r="F53" s="66">
        <v>2978.06</v>
      </c>
      <c r="G53" s="73">
        <v>923.87</v>
      </c>
      <c r="H53">
        <v>3739.93</v>
      </c>
      <c r="I53">
        <v>4789.0600000000004</v>
      </c>
      <c r="J53">
        <v>1482.28</v>
      </c>
      <c r="K53" s="65">
        <v>3040.02</v>
      </c>
      <c r="L53" s="66">
        <v>3940.84</v>
      </c>
      <c r="M53" s="73">
        <v>1206.33</v>
      </c>
      <c r="N53" s="36"/>
      <c r="O53" s="36">
        <v>1440.1875160544566</v>
      </c>
      <c r="P53" s="36">
        <v>2092.8589776521962</v>
      </c>
      <c r="Q53" s="36">
        <v>449.16516825070647</v>
      </c>
      <c r="R53" s="63">
        <v>1789.2476416903137</v>
      </c>
      <c r="S53" s="64">
        <v>2283.9634941329855</v>
      </c>
      <c r="T53" s="72">
        <v>708.54359996932283</v>
      </c>
      <c r="U53" s="36">
        <v>1395.9129590922664</v>
      </c>
      <c r="V53" s="36">
        <v>1787.4962675425502</v>
      </c>
      <c r="W53" s="36">
        <v>553.25470289638702</v>
      </c>
      <c r="X53" s="63">
        <v>2748.4133441822619</v>
      </c>
      <c r="Y53" s="64">
        <v>3562.8243377633125</v>
      </c>
      <c r="Z53" s="72">
        <v>1090.6156767019256</v>
      </c>
      <c r="AA53" s="36"/>
      <c r="AB53">
        <v>13887.03</v>
      </c>
      <c r="AC53">
        <v>12547.2</v>
      </c>
      <c r="AD53">
        <f>1922.56+1760.05+1527.51</f>
        <v>5210.12</v>
      </c>
      <c r="AE53" s="21">
        <v>12636.11</v>
      </c>
      <c r="AF53" s="21">
        <v>16490.63</v>
      </c>
      <c r="AG53">
        <v>4379.95</v>
      </c>
      <c r="AH53">
        <f>6402.61+1712.81+2660.56</f>
        <v>10775.98</v>
      </c>
      <c r="AI53">
        <f>8330.3+3325.24+1390.13</f>
        <v>13045.669999999998</v>
      </c>
      <c r="AJ53">
        <f>1173.73+912.79+2030</f>
        <v>4116.5200000000004</v>
      </c>
      <c r="AK53" s="36"/>
      <c r="AL53" s="36">
        <v>3.38017997405297E-2</v>
      </c>
      <c r="AM53" s="36">
        <v>3.0540579353855669E-2</v>
      </c>
      <c r="AN53" s="36">
        <v>1.268172048768733E-2</v>
      </c>
      <c r="AO53" s="36">
        <v>6.0995979011696108E-2</v>
      </c>
      <c r="AP53" s="36">
        <v>7.9602197303572556E-2</v>
      </c>
      <c r="AQ53" s="36">
        <v>2.11425302780902E-2</v>
      </c>
      <c r="AR53" s="36">
        <v>3.3785917375815086E-2</v>
      </c>
      <c r="AS53" s="36">
        <v>4.0902073754048314E-2</v>
      </c>
      <c r="AT53" s="36">
        <v>1.2906520297540486E-2</v>
      </c>
      <c r="AU53" s="2"/>
      <c r="AV53" s="3">
        <v>4.5840647199999998</v>
      </c>
      <c r="AW53" s="3">
        <v>3.1397275800000002</v>
      </c>
      <c r="AX53" s="3">
        <v>4.5266329499999998</v>
      </c>
      <c r="AY53" s="3">
        <v>8.2720304099999993</v>
      </c>
      <c r="AZ53" s="3">
        <v>8.1835125400000006</v>
      </c>
      <c r="BA53" s="3">
        <v>7.5466474999999997</v>
      </c>
      <c r="BB53" s="3">
        <v>4.5819108100000001</v>
      </c>
      <c r="BC53" s="3">
        <v>4.2049421300000001</v>
      </c>
      <c r="BD53" s="3">
        <v>4.6068733399999999</v>
      </c>
      <c r="BF53" s="5">
        <v>4.0834750833333331</v>
      </c>
      <c r="BG53" s="5">
        <v>8.0007301500000008</v>
      </c>
      <c r="BH53" s="5">
        <v>4.4645754266666664</v>
      </c>
      <c r="BI53" s="5">
        <v>16.548780659999998</v>
      </c>
      <c r="BJ53" s="5"/>
      <c r="BK53" s="5">
        <v>24.675383445038261</v>
      </c>
      <c r="BL53" s="5">
        <v>48.34634233408228</v>
      </c>
      <c r="BM53" s="5">
        <v>26.978274220879467</v>
      </c>
    </row>
    <row r="54" spans="1:65" x14ac:dyDescent="0.2">
      <c r="A54" s="2" t="s">
        <v>55</v>
      </c>
      <c r="B54">
        <v>2402.8200000000002</v>
      </c>
      <c r="C54">
        <v>3212.6</v>
      </c>
      <c r="D54">
        <v>2243.88</v>
      </c>
      <c r="E54" s="65">
        <v>1513.91</v>
      </c>
      <c r="F54" s="66">
        <v>1952.3</v>
      </c>
      <c r="G54" s="73">
        <v>1459.07</v>
      </c>
      <c r="H54">
        <v>2435.4699999999998</v>
      </c>
      <c r="I54">
        <v>3137.66</v>
      </c>
      <c r="J54">
        <v>2340.75</v>
      </c>
      <c r="K54" s="65">
        <v>1874.72</v>
      </c>
      <c r="L54" s="66">
        <v>2411.64</v>
      </c>
      <c r="M54" s="73">
        <v>1790.74</v>
      </c>
      <c r="N54" s="36"/>
      <c r="O54" s="36">
        <v>1028.6925250449526</v>
      </c>
      <c r="P54" s="36">
        <v>1375.3746039900677</v>
      </c>
      <c r="Q54" s="36">
        <v>960.64731569483695</v>
      </c>
      <c r="R54" s="63">
        <v>1161.0629649513</v>
      </c>
      <c r="S54" s="64">
        <v>1497.27739857351</v>
      </c>
      <c r="T54" s="72">
        <v>1119.0045248868778</v>
      </c>
      <c r="U54" s="36">
        <v>909.02881457151386</v>
      </c>
      <c r="V54" s="36">
        <v>1171.1182442520155</v>
      </c>
      <c r="W54" s="36">
        <v>873.67497760525532</v>
      </c>
      <c r="X54" s="63">
        <v>1694.8919627520115</v>
      </c>
      <c r="Y54" s="64">
        <v>2180.3091944670459</v>
      </c>
      <c r="Z54" s="72">
        <v>1618.967543621734</v>
      </c>
      <c r="AA54" s="36"/>
      <c r="AB54">
        <v>250258</v>
      </c>
      <c r="AC54">
        <v>316477</v>
      </c>
      <c r="AD54">
        <v>183708</v>
      </c>
      <c r="AE54" s="21">
        <v>42316</v>
      </c>
      <c r="AF54" s="21">
        <v>55829</v>
      </c>
      <c r="AG54">
        <v>33075</v>
      </c>
      <c r="AH54">
        <v>57867</v>
      </c>
      <c r="AI54">
        <v>80041</v>
      </c>
      <c r="AJ54">
        <v>99336</v>
      </c>
      <c r="AK54" s="36"/>
      <c r="AL54" s="36">
        <v>0.12512899999999999</v>
      </c>
      <c r="AM54" s="36">
        <v>0.1582385</v>
      </c>
      <c r="AN54" s="36">
        <v>9.1854000000000005E-2</v>
      </c>
      <c r="AO54" s="36">
        <v>9.9657101946229065E-2</v>
      </c>
      <c r="AP54" s="36">
        <v>0.1314811500273188</v>
      </c>
      <c r="AQ54" s="36">
        <v>7.7893908849407459E-2</v>
      </c>
      <c r="AR54" s="36">
        <v>3.22128793534565E-2</v>
      </c>
      <c r="AS54" s="36">
        <v>4.4556501569634019E-2</v>
      </c>
      <c r="AT54" s="36">
        <v>5.5297468046640652E-2</v>
      </c>
      <c r="AU54" s="2"/>
      <c r="AV54" s="3">
        <v>26.102930799999999</v>
      </c>
      <c r="AW54" s="3">
        <v>25.423598999999999</v>
      </c>
      <c r="AX54" s="3">
        <v>20.089257799999999</v>
      </c>
      <c r="AY54" s="3">
        <v>20.789285</v>
      </c>
      <c r="AZ54" s="3">
        <v>21.1245938</v>
      </c>
      <c r="BA54" s="3">
        <v>17.036066099999999</v>
      </c>
      <c r="BB54" s="3">
        <v>6.7198695900000001</v>
      </c>
      <c r="BC54" s="3">
        <v>7.1587295700000002</v>
      </c>
      <c r="BD54" s="3">
        <v>12.0940306</v>
      </c>
      <c r="BF54" s="5">
        <v>23.8719292</v>
      </c>
      <c r="BG54" s="5">
        <v>19.649981633333333</v>
      </c>
      <c r="BH54" s="5">
        <v>8.6575432533333334</v>
      </c>
      <c r="BI54" s="5">
        <v>52.179454086666667</v>
      </c>
      <c r="BJ54" s="5"/>
      <c r="BK54" s="5">
        <v>45.749672199234368</v>
      </c>
      <c r="BL54" s="5">
        <v>37.658465342883801</v>
      </c>
      <c r="BM54" s="5">
        <v>16.591862457881831</v>
      </c>
    </row>
    <row r="55" spans="1:65" x14ac:dyDescent="0.2">
      <c r="A55" s="2" t="s">
        <v>56</v>
      </c>
      <c r="B55">
        <v>1414.36</v>
      </c>
      <c r="C55">
        <v>1959.5</v>
      </c>
      <c r="D55">
        <v>1953.1</v>
      </c>
      <c r="E55" s="65">
        <v>812.13</v>
      </c>
      <c r="F55" s="66">
        <v>1251.73</v>
      </c>
      <c r="G55" s="73">
        <v>1268.32</v>
      </c>
      <c r="H55">
        <v>1299.96</v>
      </c>
      <c r="I55">
        <v>2014.54</v>
      </c>
      <c r="J55">
        <v>2044.41</v>
      </c>
      <c r="K55" s="65">
        <v>1050.3499999999999</v>
      </c>
      <c r="L55" s="66">
        <v>1600.86</v>
      </c>
      <c r="M55" s="73">
        <v>1575.92</v>
      </c>
      <c r="N55" s="36"/>
      <c r="O55" s="36">
        <v>605.51417073379571</v>
      </c>
      <c r="P55" s="36">
        <v>838.89887832862405</v>
      </c>
      <c r="Q55" s="36">
        <v>836.15891771555789</v>
      </c>
      <c r="R55" s="63">
        <v>622.84684408313512</v>
      </c>
      <c r="S55" s="64">
        <v>959.98926298028982</v>
      </c>
      <c r="T55" s="72">
        <v>972.71263133675882</v>
      </c>
      <c r="U55" s="36">
        <v>485.2045386682592</v>
      </c>
      <c r="V55" s="36">
        <v>751.91848312929233</v>
      </c>
      <c r="W55" s="36">
        <v>763.06733353239781</v>
      </c>
      <c r="X55" s="63">
        <v>949.59768556188396</v>
      </c>
      <c r="Y55" s="64">
        <v>1447.3013289937617</v>
      </c>
      <c r="Z55" s="72">
        <v>1424.7536389114907</v>
      </c>
      <c r="AA55" s="36"/>
      <c r="AB55">
        <v>92374</v>
      </c>
      <c r="AC55">
        <v>131985</v>
      </c>
      <c r="AD55">
        <v>225200</v>
      </c>
      <c r="AE55" s="21">
        <v>30897</v>
      </c>
      <c r="AF55" s="21">
        <v>27405</v>
      </c>
      <c r="AG55">
        <v>42597</v>
      </c>
      <c r="AH55">
        <v>56111</v>
      </c>
      <c r="AI55">
        <v>83542</v>
      </c>
      <c r="AJ55">
        <v>51404</v>
      </c>
      <c r="AK55" s="36"/>
      <c r="AL55" s="36">
        <v>4.6186999999999999E-2</v>
      </c>
      <c r="AM55" s="36">
        <v>6.5992499999999996E-2</v>
      </c>
      <c r="AN55" s="36">
        <v>0.11260000000000001</v>
      </c>
      <c r="AO55" s="36">
        <v>7.2764568457147169E-2</v>
      </c>
      <c r="AP55" s="36">
        <v>6.4540667332366186E-2</v>
      </c>
      <c r="AQ55" s="36">
        <v>0.10031887634945456</v>
      </c>
      <c r="AR55" s="36">
        <v>3.1235365120047653E-2</v>
      </c>
      <c r="AS55" s="36">
        <v>4.6505406655718506E-2</v>
      </c>
      <c r="AT55" s="36">
        <v>2.8615114837214264E-2</v>
      </c>
      <c r="AU55" s="2"/>
      <c r="AV55" s="3">
        <v>17.342909899999999</v>
      </c>
      <c r="AW55" s="3">
        <v>16.5059325</v>
      </c>
      <c r="AX55" s="3">
        <v>28.173295599999999</v>
      </c>
      <c r="AY55" s="3">
        <v>27.322609199999999</v>
      </c>
      <c r="AZ55" s="3">
        <v>16.1428026</v>
      </c>
      <c r="BA55" s="3">
        <v>25.100473900000001</v>
      </c>
      <c r="BB55" s="3">
        <v>11.728670899999999</v>
      </c>
      <c r="BC55" s="3">
        <v>11.631853700000001</v>
      </c>
      <c r="BD55" s="3">
        <v>7.1596988499999998</v>
      </c>
      <c r="BF55" s="5">
        <v>20.674046000000001</v>
      </c>
      <c r="BG55" s="5">
        <v>22.855295233333333</v>
      </c>
      <c r="BH55" s="5">
        <v>10.173407816666666</v>
      </c>
      <c r="BI55" s="5">
        <v>53.702749050000001</v>
      </c>
      <c r="BJ55" s="5"/>
      <c r="BK55" s="5">
        <v>38.497183786162246</v>
      </c>
      <c r="BL55" s="5">
        <v>42.558892491804997</v>
      </c>
      <c r="BM55" s="5">
        <v>18.943923722032746</v>
      </c>
    </row>
    <row r="56" spans="1:65" x14ac:dyDescent="0.2">
      <c r="A56" s="2" t="s">
        <v>57</v>
      </c>
      <c r="B56">
        <v>3458.21</v>
      </c>
      <c r="C56">
        <v>1416.1</v>
      </c>
      <c r="D56">
        <v>2833.11</v>
      </c>
      <c r="E56" s="65">
        <v>1979.66</v>
      </c>
      <c r="F56" s="66">
        <v>991.76</v>
      </c>
      <c r="G56" s="73">
        <v>1687.03</v>
      </c>
      <c r="H56">
        <v>3202.81</v>
      </c>
      <c r="I56">
        <v>1598.72</v>
      </c>
      <c r="J56">
        <v>2723.67</v>
      </c>
      <c r="K56" s="65">
        <v>2490.66</v>
      </c>
      <c r="L56" s="66">
        <v>1253.58</v>
      </c>
      <c r="M56" s="73">
        <v>2110.54</v>
      </c>
      <c r="N56" s="36"/>
      <c r="O56" s="36">
        <v>1480.5248737049405</v>
      </c>
      <c r="P56" s="36">
        <v>606.25909752547307</v>
      </c>
      <c r="Q56" s="36">
        <v>1212.9077832006167</v>
      </c>
      <c r="R56" s="63">
        <v>1518.2606028069638</v>
      </c>
      <c r="S56" s="64">
        <v>760.61047626351706</v>
      </c>
      <c r="T56" s="72">
        <v>1293.8338829664851</v>
      </c>
      <c r="U56" s="36">
        <v>1195.4352045386684</v>
      </c>
      <c r="V56" s="36">
        <v>596.71543744401322</v>
      </c>
      <c r="W56" s="36">
        <v>1016.5982382800837</v>
      </c>
      <c r="X56" s="63">
        <v>2251.7493897477621</v>
      </c>
      <c r="Y56" s="64">
        <v>1133.3333333333333</v>
      </c>
      <c r="Z56" s="72">
        <v>1908.0914926317691</v>
      </c>
      <c r="AA56" s="36"/>
      <c r="AB56">
        <v>256734</v>
      </c>
      <c r="AC56">
        <v>125921</v>
      </c>
      <c r="AD56">
        <v>181158</v>
      </c>
      <c r="AE56" s="21">
        <v>56131</v>
      </c>
      <c r="AF56" s="21">
        <v>54303</v>
      </c>
      <c r="AG56">
        <v>47460</v>
      </c>
      <c r="AH56">
        <v>114808</v>
      </c>
      <c r="AI56">
        <v>52967</v>
      </c>
      <c r="AJ56">
        <v>100478</v>
      </c>
      <c r="AK56" s="36"/>
      <c r="AL56" s="36">
        <v>0.12836700000000001</v>
      </c>
      <c r="AM56" s="36">
        <v>6.2960500000000003E-2</v>
      </c>
      <c r="AN56" s="36">
        <v>9.0579000000000007E-2</v>
      </c>
      <c r="AO56" s="36">
        <v>0.13219238088060742</v>
      </c>
      <c r="AP56" s="36">
        <v>0.1278873146560657</v>
      </c>
      <c r="AQ56" s="36">
        <v>0.11177157714264183</v>
      </c>
      <c r="AR56" s="36">
        <v>6.3910281383372791E-2</v>
      </c>
      <c r="AS56" s="36">
        <v>2.9485191572304257E-2</v>
      </c>
      <c r="AT56" s="36">
        <v>5.5933186300941851E-2</v>
      </c>
      <c r="AU56" s="2"/>
      <c r="AV56" s="3">
        <v>19.914302800000002</v>
      </c>
      <c r="AW56" s="3">
        <v>20.3300485</v>
      </c>
      <c r="AX56" s="3">
        <v>16.676819299999998</v>
      </c>
      <c r="AY56" s="3">
        <v>20.507755899999999</v>
      </c>
      <c r="AZ56" s="3">
        <v>41.295023100000002</v>
      </c>
      <c r="BA56" s="3">
        <v>20.578659500000001</v>
      </c>
      <c r="BB56" s="3">
        <v>9.9147654599999999</v>
      </c>
      <c r="BC56" s="3">
        <v>9.5208165999999999</v>
      </c>
      <c r="BD56" s="3">
        <v>10.298056300000001</v>
      </c>
      <c r="BF56" s="5">
        <v>18.973723533333335</v>
      </c>
      <c r="BG56" s="5">
        <v>27.460479500000002</v>
      </c>
      <c r="BH56" s="5">
        <v>9.9112127866666668</v>
      </c>
      <c r="BI56" s="5">
        <v>56.345415819999999</v>
      </c>
      <c r="BJ56" s="5"/>
      <c r="BK56" s="5">
        <v>33.673943580337458</v>
      </c>
      <c r="BL56" s="5">
        <v>48.7359603267899</v>
      </c>
      <c r="BM56" s="5">
        <v>17.590096092872649</v>
      </c>
    </row>
    <row r="57" spans="1:65" x14ac:dyDescent="0.2">
      <c r="A57" s="2" t="s">
        <v>58</v>
      </c>
      <c r="B57">
        <v>3719.31</v>
      </c>
      <c r="C57">
        <v>7.5</v>
      </c>
      <c r="D57">
        <v>6.67</v>
      </c>
      <c r="E57" s="65">
        <v>1953.32</v>
      </c>
      <c r="F57" s="66">
        <v>13.09</v>
      </c>
      <c r="G57" s="73">
        <v>10.44</v>
      </c>
      <c r="H57">
        <v>3101.79</v>
      </c>
      <c r="I57">
        <v>7.99</v>
      </c>
      <c r="J57">
        <v>5.62</v>
      </c>
      <c r="K57" s="65">
        <v>2482.7199999999998</v>
      </c>
      <c r="L57" s="66">
        <v>9.85</v>
      </c>
      <c r="M57" s="73">
        <v>7.09</v>
      </c>
      <c r="N57" s="36"/>
      <c r="O57" s="36">
        <v>1592.3067043411252</v>
      </c>
      <c r="P57" s="36">
        <v>3.2108913434369382</v>
      </c>
      <c r="Q57" s="36">
        <v>2.8555527014299171</v>
      </c>
      <c r="R57" s="63">
        <v>1498.0596671523888</v>
      </c>
      <c r="S57" s="64">
        <v>10.039113428943937</v>
      </c>
      <c r="T57" s="72">
        <v>8.0067489838177774</v>
      </c>
      <c r="U57" s="36">
        <v>1157.7299193789192</v>
      </c>
      <c r="V57" s="36">
        <v>2.9822335025380715</v>
      </c>
      <c r="W57" s="36">
        <v>2.0976410868916098</v>
      </c>
      <c r="X57" s="63">
        <v>2244.5710152789075</v>
      </c>
      <c r="Y57" s="64">
        <v>8.9051622818913287</v>
      </c>
      <c r="Z57" s="72">
        <v>6.409908688183708</v>
      </c>
      <c r="AA57" s="36"/>
      <c r="AB57">
        <v>7758.53</v>
      </c>
      <c r="AC57">
        <v>26.11</v>
      </c>
      <c r="AD57">
        <v>30.55</v>
      </c>
      <c r="AE57" s="21">
        <v>10055.959999999999</v>
      </c>
      <c r="AF57" s="21">
        <v>237.03</v>
      </c>
      <c r="AG57">
        <v>235.21</v>
      </c>
      <c r="AH57">
        <v>14840.08</v>
      </c>
      <c r="AI57" s="36">
        <v>0</v>
      </c>
      <c r="AJ57" s="36">
        <v>0</v>
      </c>
      <c r="AK57" s="36"/>
      <c r="AL57" s="36">
        <v>1.8884691495653992E-2</v>
      </c>
      <c r="AM57" s="36">
        <v>6.35531853265407E-5</v>
      </c>
      <c r="AN57" s="36">
        <v>7.436039110401449E-5</v>
      </c>
      <c r="AO57" s="36">
        <v>4.8541293570763117E-2</v>
      </c>
      <c r="AP57" s="36">
        <v>1.1441714978060755E-3</v>
      </c>
      <c r="AQ57" s="36">
        <v>1.135386145209328E-3</v>
      </c>
      <c r="AR57" s="36">
        <v>4.652808530922347E-2</v>
      </c>
      <c r="AS57" s="36">
        <v>0</v>
      </c>
      <c r="AT57" s="36">
        <v>0</v>
      </c>
      <c r="AU57" s="2"/>
      <c r="AV57" s="3">
        <v>2.90861839</v>
      </c>
      <c r="AW57" s="3">
        <v>2.5282321900000002</v>
      </c>
      <c r="AX57" s="3">
        <v>3.83897581</v>
      </c>
      <c r="AY57" s="3">
        <v>7.4763254100000003</v>
      </c>
      <c r="AZ57" s="3">
        <v>45.516699099999997</v>
      </c>
      <c r="BA57" s="3">
        <v>58.6161514</v>
      </c>
      <c r="BB57" s="3">
        <v>7.1662512700000001</v>
      </c>
      <c r="BC57" s="3">
        <v>0</v>
      </c>
      <c r="BD57" s="3">
        <v>0</v>
      </c>
      <c r="BF57" s="5">
        <v>3.0919421299999996</v>
      </c>
      <c r="BG57" s="5">
        <v>37.203058636666668</v>
      </c>
      <c r="BH57" s="5">
        <v>2.3887504233333332</v>
      </c>
      <c r="BI57" s="5">
        <v>42.683751190000002</v>
      </c>
      <c r="BJ57" s="5"/>
      <c r="BK57" s="5">
        <v>7.2438388000077722</v>
      </c>
      <c r="BL57" s="5">
        <v>87.159768294644735</v>
      </c>
      <c r="BM57" s="5">
        <v>5.5963929053474857</v>
      </c>
    </row>
    <row r="58" spans="1:65" x14ac:dyDescent="0.2">
      <c r="A58" s="2" t="s">
        <v>59</v>
      </c>
      <c r="B58">
        <v>5787</v>
      </c>
      <c r="C58">
        <v>6334.06</v>
      </c>
      <c r="D58">
        <v>3351.39</v>
      </c>
      <c r="E58" s="65">
        <v>3175.4</v>
      </c>
      <c r="F58" s="66">
        <v>3596.68</v>
      </c>
      <c r="G58" s="73">
        <v>1849.14</v>
      </c>
      <c r="H58">
        <v>5094.9799999999996</v>
      </c>
      <c r="I58">
        <v>5851.03</v>
      </c>
      <c r="J58">
        <v>2970.24</v>
      </c>
      <c r="K58" s="65">
        <v>3895.09</v>
      </c>
      <c r="L58" s="66">
        <v>4435.04</v>
      </c>
      <c r="M58" s="73">
        <v>2353.59</v>
      </c>
      <c r="N58" s="36"/>
      <c r="O58" s="36">
        <v>2477.5237605959414</v>
      </c>
      <c r="P58" s="36">
        <v>2711.7304563746898</v>
      </c>
      <c r="Q58" s="36">
        <v>1434.7932185974828</v>
      </c>
      <c r="R58" s="63">
        <v>2435.3094562466445</v>
      </c>
      <c r="S58" s="64">
        <v>2758.4017179231532</v>
      </c>
      <c r="T58" s="72">
        <v>1418.1609019096556</v>
      </c>
      <c r="U58" s="36">
        <v>1901.6796058524933</v>
      </c>
      <c r="V58" s="36">
        <v>2183.8720513586145</v>
      </c>
      <c r="W58" s="36">
        <v>1108.6294416243654</v>
      </c>
      <c r="X58" s="63">
        <v>3521.4627972154417</v>
      </c>
      <c r="Y58" s="64">
        <v>4009.6193834192204</v>
      </c>
      <c r="Z58" s="72">
        <v>2127.8275020341739</v>
      </c>
      <c r="AA58" s="36"/>
      <c r="AB58">
        <v>26009.65</v>
      </c>
      <c r="AC58">
        <v>23014.77</v>
      </c>
      <c r="AD58">
        <v>19152.150000000001</v>
      </c>
      <c r="AE58" s="21">
        <v>54357.18</v>
      </c>
      <c r="AF58">
        <v>41888.22</v>
      </c>
      <c r="AG58">
        <v>18944.77</v>
      </c>
      <c r="AH58">
        <v>67770.47</v>
      </c>
      <c r="AI58">
        <v>71072.91</v>
      </c>
      <c r="AJ58">
        <v>36314.03</v>
      </c>
      <c r="AK58" s="36"/>
      <c r="AL58" s="36">
        <v>6.3308927871637666E-2</v>
      </c>
      <c r="AM58" s="36">
        <v>5.6019224169196059E-2</v>
      </c>
      <c r="AN58" s="36">
        <v>4.6617393272757809E-2</v>
      </c>
      <c r="AO58" s="36">
        <v>0.26238845739828059</v>
      </c>
      <c r="AP58" s="36">
        <v>0.20219933096160994</v>
      </c>
      <c r="AQ58" s="36">
        <v>9.1448617755101061E-2</v>
      </c>
      <c r="AR58" s="36">
        <v>0.10624033730297175</v>
      </c>
      <c r="AS58" s="36">
        <v>0.11141740542014471</v>
      </c>
      <c r="AT58" s="36">
        <v>5.6927667699961874E-2</v>
      </c>
      <c r="AU58" s="2"/>
      <c r="AV58" s="3">
        <v>6.1251042199999999</v>
      </c>
      <c r="AW58" s="3">
        <v>4.8029005400000004</v>
      </c>
      <c r="AX58" s="3">
        <v>7.6554847099999996</v>
      </c>
      <c r="AY58" s="3">
        <v>25.385940000000002</v>
      </c>
      <c r="AZ58" s="3">
        <v>17.335892999999999</v>
      </c>
      <c r="BA58" s="3">
        <v>15.017645699999999</v>
      </c>
      <c r="BB58" s="3">
        <v>10.2786946</v>
      </c>
      <c r="BC58" s="3">
        <v>9.5525549499999993</v>
      </c>
      <c r="BD58" s="3">
        <v>9.3486327500000002</v>
      </c>
      <c r="BF58" s="5">
        <v>6.1944964899999997</v>
      </c>
      <c r="BG58" s="5">
        <v>19.246492900000003</v>
      </c>
      <c r="BH58" s="5">
        <v>9.7266274333333325</v>
      </c>
      <c r="BI58" s="5">
        <v>35.167616823333333</v>
      </c>
      <c r="BJ58" s="5"/>
      <c r="BK58" s="5">
        <v>17.61420604961215</v>
      </c>
      <c r="BL58" s="5">
        <v>54.727885021853865</v>
      </c>
      <c r="BM58" s="5">
        <v>27.657908928533992</v>
      </c>
    </row>
    <row r="59" spans="1:65" x14ac:dyDescent="0.2">
      <c r="A59" s="2" t="s">
        <v>60</v>
      </c>
      <c r="B59">
        <v>3855.09</v>
      </c>
      <c r="C59">
        <v>6308.14</v>
      </c>
      <c r="D59">
        <v>5651.98</v>
      </c>
      <c r="E59" s="65">
        <v>1983.04</v>
      </c>
      <c r="F59" s="66">
        <v>3327.39</v>
      </c>
      <c r="G59" s="73">
        <v>2907.11</v>
      </c>
      <c r="H59">
        <v>3182.31</v>
      </c>
      <c r="I59">
        <v>5361.54</v>
      </c>
      <c r="J59">
        <v>4701.6000000000004</v>
      </c>
      <c r="K59" s="65">
        <v>2470.3000000000002</v>
      </c>
      <c r="L59" s="66">
        <v>4196.24</v>
      </c>
      <c r="M59" s="73">
        <v>3733.09</v>
      </c>
      <c r="N59" s="36"/>
      <c r="O59" s="36">
        <v>1650.4366812227076</v>
      </c>
      <c r="P59" s="36">
        <v>2700.633615891772</v>
      </c>
      <c r="Q59" s="36">
        <v>2419.7191540371605</v>
      </c>
      <c r="R59" s="63">
        <v>1520.8528261369736</v>
      </c>
      <c r="S59" s="64">
        <v>2551.875143799371</v>
      </c>
      <c r="T59" s="72">
        <v>2229.5498121021551</v>
      </c>
      <c r="U59" s="36">
        <v>1187.7836667661988</v>
      </c>
      <c r="V59" s="36">
        <v>2001.1719916392954</v>
      </c>
      <c r="W59" s="36">
        <v>1754.8521946849808</v>
      </c>
      <c r="X59" s="63">
        <v>2233.3423741072233</v>
      </c>
      <c r="Y59" s="64">
        <v>3793.7257029201696</v>
      </c>
      <c r="Z59" s="72">
        <v>3375.0022601934725</v>
      </c>
      <c r="AA59" s="36"/>
      <c r="AB59">
        <v>35915.08</v>
      </c>
      <c r="AC59">
        <v>63997.46</v>
      </c>
      <c r="AD59">
        <v>54098.73</v>
      </c>
      <c r="AE59" s="21">
        <v>19891.490000000002</v>
      </c>
      <c r="AF59">
        <v>33141.379999999997</v>
      </c>
      <c r="AG59">
        <v>29007.46</v>
      </c>
      <c r="AH59">
        <v>26046.05</v>
      </c>
      <c r="AI59">
        <v>48026.04</v>
      </c>
      <c r="AJ59">
        <v>37385.96</v>
      </c>
      <c r="AK59" s="36"/>
      <c r="AL59" s="36">
        <v>8.7419292809557084E-2</v>
      </c>
      <c r="AM59" s="36">
        <v>0.15577336023775853</v>
      </c>
      <c r="AN59" s="36">
        <v>0.13167930347071954</v>
      </c>
      <c r="AO59" s="36">
        <v>9.60185457827894E-2</v>
      </c>
      <c r="AP59" s="36">
        <v>0.15997731255098641</v>
      </c>
      <c r="AQ59" s="36">
        <v>0.1400223978220049</v>
      </c>
      <c r="AR59" s="36">
        <v>4.083107491227473E-2</v>
      </c>
      <c r="AS59" s="36">
        <v>7.5287993265001907E-2</v>
      </c>
      <c r="AT59" s="36">
        <v>5.8608078131897411E-2</v>
      </c>
      <c r="AU59" s="2"/>
      <c r="AV59" s="3">
        <v>13.260585900000001</v>
      </c>
      <c r="AW59" s="3">
        <v>14.1004462</v>
      </c>
      <c r="AX59" s="3">
        <v>13.4653484</v>
      </c>
      <c r="AY59" s="3">
        <v>14.565002</v>
      </c>
      <c r="AZ59" s="3">
        <v>14.480983699999999</v>
      </c>
      <c r="BA59" s="3">
        <v>14.318502000000001</v>
      </c>
      <c r="BB59" s="3">
        <v>6.19364399</v>
      </c>
      <c r="BC59" s="3">
        <v>6.8149926000000001</v>
      </c>
      <c r="BD59" s="3">
        <v>5.9931831899999999</v>
      </c>
      <c r="BF59" s="5">
        <v>13.608793499999999</v>
      </c>
      <c r="BG59" s="5">
        <v>14.454829233333333</v>
      </c>
      <c r="BH59" s="5">
        <v>6.3339399266666661</v>
      </c>
      <c r="BI59" s="5">
        <v>34.397562659999998</v>
      </c>
      <c r="BJ59" s="5"/>
      <c r="BK59" s="5">
        <v>39.563249392159108</v>
      </c>
      <c r="BL59" s="5">
        <v>42.022829862135744</v>
      </c>
      <c r="BM59" s="5">
        <v>18.413920745705145</v>
      </c>
    </row>
    <row r="60" spans="1:65" x14ac:dyDescent="0.2">
      <c r="A60" s="2" t="s">
        <v>61</v>
      </c>
      <c r="B60">
        <v>5985.52</v>
      </c>
      <c r="C60">
        <v>4997.51</v>
      </c>
      <c r="D60">
        <v>2328.1799999999998</v>
      </c>
      <c r="E60" s="65">
        <v>3104.95</v>
      </c>
      <c r="F60" s="66">
        <v>2617.06</v>
      </c>
      <c r="G60" s="73">
        <v>1780.85</v>
      </c>
      <c r="H60">
        <v>5046.74</v>
      </c>
      <c r="I60">
        <v>4234.6000000000004</v>
      </c>
      <c r="J60">
        <v>2917.39</v>
      </c>
      <c r="K60" s="65">
        <v>3868.62</v>
      </c>
      <c r="L60" s="66">
        <v>3304.74</v>
      </c>
      <c r="M60" s="73">
        <v>2186.62</v>
      </c>
      <c r="N60" s="36"/>
      <c r="O60" s="36">
        <v>2562.5139138624886</v>
      </c>
      <c r="P60" s="36">
        <v>2139.5282130319379</v>
      </c>
      <c r="Q60" s="36">
        <v>996.73773439506806</v>
      </c>
      <c r="R60" s="63">
        <v>2381.2792392054603</v>
      </c>
      <c r="S60" s="64">
        <v>2007.101771608252</v>
      </c>
      <c r="T60" s="72">
        <v>1365.7872536237439</v>
      </c>
      <c r="U60" s="36">
        <v>1883.6742311137655</v>
      </c>
      <c r="V60" s="36">
        <v>1580.5464317706781</v>
      </c>
      <c r="W60" s="36">
        <v>1088.9034040011945</v>
      </c>
      <c r="X60" s="63">
        <v>3497.5318687279628</v>
      </c>
      <c r="Y60" s="64">
        <v>2987.7407106048272</v>
      </c>
      <c r="Z60" s="72">
        <v>1976.8737003887529</v>
      </c>
      <c r="AA60" s="36"/>
      <c r="AB60" s="21">
        <v>40525.89</v>
      </c>
      <c r="AC60">
        <v>62551.55</v>
      </c>
      <c r="AD60">
        <v>40157.589999999997</v>
      </c>
      <c r="AE60">
        <v>20002.52</v>
      </c>
      <c r="AF60">
        <v>51485.85</v>
      </c>
      <c r="AG60">
        <v>31666.94</v>
      </c>
      <c r="AH60" s="36">
        <v>30912.51</v>
      </c>
      <c r="AI60" s="36">
        <v>35465.4</v>
      </c>
      <c r="AJ60" s="36">
        <v>26677.58</v>
      </c>
      <c r="AK60" s="36"/>
      <c r="AL60" s="36">
        <v>9.8642259582267425E-2</v>
      </c>
      <c r="AM60" s="36">
        <v>4.8687240925233126E-2</v>
      </c>
      <c r="AN60" s="36">
        <v>7.5242760510859541E-2</v>
      </c>
      <c r="AO60" s="36">
        <v>0.30194363858411011</v>
      </c>
      <c r="AP60" s="36">
        <v>0.24852821208420423</v>
      </c>
      <c r="AQ60" s="36">
        <v>0.17119562856301559</v>
      </c>
      <c r="AR60" s="36">
        <v>6.2953022265810538E-2</v>
      </c>
      <c r="AS60" s="36">
        <v>4.9642659803790179E-2</v>
      </c>
      <c r="AT60" s="36">
        <v>4.1821092544097944E-2</v>
      </c>
      <c r="AU60" s="2"/>
      <c r="AV60" s="3">
        <v>9.5537304299999999</v>
      </c>
      <c r="AW60" s="3">
        <v>5.58665564</v>
      </c>
      <c r="AX60" s="3">
        <v>13.8611962</v>
      </c>
      <c r="AY60" s="3">
        <v>29.243938100000001</v>
      </c>
      <c r="AZ60" s="3">
        <v>28.5175646</v>
      </c>
      <c r="BA60" s="3">
        <v>31.537601599999999</v>
      </c>
      <c r="BB60" s="3">
        <v>6.0971454500000002</v>
      </c>
      <c r="BC60" s="3">
        <v>5.6962859300000002</v>
      </c>
      <c r="BD60" s="3">
        <v>7.7042677099999999</v>
      </c>
      <c r="BF60" s="5">
        <v>9.6671940900000006</v>
      </c>
      <c r="BG60" s="5">
        <v>29.766368099999998</v>
      </c>
      <c r="BH60" s="5">
        <v>6.4992330300000001</v>
      </c>
      <c r="BI60" s="5">
        <v>45.932795219999996</v>
      </c>
      <c r="BJ60" s="5"/>
      <c r="BK60" s="5">
        <v>21.046387540096241</v>
      </c>
      <c r="BL60" s="5">
        <v>64.804173047668485</v>
      </c>
      <c r="BM60" s="5">
        <v>14.149439412235276</v>
      </c>
    </row>
    <row r="61" spans="1:65" x14ac:dyDescent="0.2">
      <c r="A61" s="2" t="s">
        <v>62</v>
      </c>
      <c r="B61">
        <v>8703.41</v>
      </c>
      <c r="C61">
        <v>2934.82</v>
      </c>
      <c r="D61">
        <v>5618.4</v>
      </c>
      <c r="E61" s="65">
        <v>4445.57</v>
      </c>
      <c r="F61" s="66">
        <v>1522.45</v>
      </c>
      <c r="G61" s="73">
        <v>2915.84</v>
      </c>
      <c r="H61">
        <v>7199.21</v>
      </c>
      <c r="I61">
        <v>2455.37</v>
      </c>
      <c r="J61">
        <v>4706.74</v>
      </c>
      <c r="K61" s="65">
        <v>5535.88</v>
      </c>
      <c r="L61" s="66">
        <v>1942.33</v>
      </c>
      <c r="M61" s="73">
        <v>3581.95</v>
      </c>
      <c r="N61" s="36"/>
      <c r="O61" s="36">
        <v>3726.0938436509978</v>
      </c>
      <c r="P61" s="36">
        <v>1256.4517510060793</v>
      </c>
      <c r="Q61" s="36">
        <v>2405.3429231954792</v>
      </c>
      <c r="R61" s="63">
        <v>3409.4409080450951</v>
      </c>
      <c r="S61" s="64">
        <v>1167.6125469744611</v>
      </c>
      <c r="T61" s="72">
        <v>2236.2451108213822</v>
      </c>
      <c r="U61" s="36">
        <v>2687.0744998507021</v>
      </c>
      <c r="V61" s="36">
        <v>916.45640489698417</v>
      </c>
      <c r="W61" s="36">
        <v>1756.7706778142729</v>
      </c>
      <c r="X61" s="63">
        <v>5004.8639363529519</v>
      </c>
      <c r="Y61" s="64">
        <v>1756.0166350239579</v>
      </c>
      <c r="Z61" s="72">
        <v>3238.3600036163093</v>
      </c>
      <c r="AA61" s="36"/>
      <c r="AB61">
        <v>78995.91</v>
      </c>
      <c r="AC61">
        <v>29962.7</v>
      </c>
      <c r="AD61">
        <v>56108.06</v>
      </c>
      <c r="AE61" s="21">
        <v>64482.43</v>
      </c>
      <c r="AF61">
        <v>16854.62</v>
      </c>
      <c r="AG61">
        <v>32401.96</v>
      </c>
      <c r="AH61">
        <v>48536.88</v>
      </c>
      <c r="AI61">
        <v>16542.37</v>
      </c>
      <c r="AJ61">
        <v>33454.660000000003</v>
      </c>
      <c r="AK61" s="36"/>
      <c r="AL61" s="36">
        <v>0.1922804177812612</v>
      </c>
      <c r="AM61" s="36">
        <v>7.2930870393854499E-2</v>
      </c>
      <c r="AN61" s="36">
        <v>0.13657012391775813</v>
      </c>
      <c r="AO61" s="36">
        <v>0.31126422189290559</v>
      </c>
      <c r="AP61" s="36">
        <v>8.1359219551753931E-2</v>
      </c>
      <c r="AQ61" s="36">
        <v>0.15640804583830123</v>
      </c>
      <c r="AR61" s="36">
        <v>7.6088811289546365E-2</v>
      </c>
      <c r="AS61" s="36">
        <v>2.5932636568560919E-2</v>
      </c>
      <c r="AT61" s="36">
        <v>5.2445178006825646E-2</v>
      </c>
      <c r="AU61" s="2"/>
      <c r="AV61" s="3">
        <v>12.967847900000001</v>
      </c>
      <c r="AW61" s="3">
        <v>14.3098864</v>
      </c>
      <c r="AX61" s="3">
        <v>14.171849099999999</v>
      </c>
      <c r="AY61" s="3">
        <v>20.9923982</v>
      </c>
      <c r="AZ61" s="3">
        <v>15.963626700000001</v>
      </c>
      <c r="BA61" s="3">
        <v>16.2304256</v>
      </c>
      <c r="BB61" s="3">
        <v>5.1316101099999996</v>
      </c>
      <c r="BC61" s="3">
        <v>5.0882854100000001</v>
      </c>
      <c r="BD61" s="3">
        <v>5.4422236000000002</v>
      </c>
      <c r="BF61" s="5">
        <v>13.816527799999998</v>
      </c>
      <c r="BG61" s="5">
        <v>17.728816833333337</v>
      </c>
      <c r="BH61" s="5">
        <v>5.220706373333333</v>
      </c>
      <c r="BI61" s="5">
        <v>36.766051006666672</v>
      </c>
      <c r="BJ61" s="5"/>
      <c r="BK61" s="5">
        <v>37.579580677551391</v>
      </c>
      <c r="BL61" s="5">
        <v>48.220617520545318</v>
      </c>
      <c r="BM61" s="5">
        <v>14.199801801903281</v>
      </c>
    </row>
    <row r="62" spans="1:65" x14ac:dyDescent="0.2">
      <c r="A62" s="2" t="s">
        <v>63</v>
      </c>
      <c r="B62">
        <v>6353.92</v>
      </c>
      <c r="C62">
        <v>3960.57</v>
      </c>
      <c r="D62">
        <v>5900.34</v>
      </c>
      <c r="E62" s="65">
        <v>3342.03</v>
      </c>
      <c r="F62" s="66">
        <v>2338.4699999999998</v>
      </c>
      <c r="G62" s="73">
        <v>3159.5</v>
      </c>
      <c r="H62">
        <v>5387.6</v>
      </c>
      <c r="I62">
        <v>3776.19</v>
      </c>
      <c r="J62">
        <v>5078.97</v>
      </c>
      <c r="K62" s="65">
        <v>4060.84</v>
      </c>
      <c r="L62" s="66">
        <v>2888.68</v>
      </c>
      <c r="M62" s="73">
        <v>3910.62</v>
      </c>
      <c r="N62" s="36"/>
      <c r="O62" s="36">
        <v>2720.2328966521109</v>
      </c>
      <c r="P62" s="36">
        <v>1695.5946570768047</v>
      </c>
      <c r="Q62" s="36">
        <v>2526.0467505779607</v>
      </c>
      <c r="R62" s="63">
        <v>2563.1029986962189</v>
      </c>
      <c r="S62" s="64">
        <v>1793.4427486770455</v>
      </c>
      <c r="T62" s="72">
        <v>2423.1152695758874</v>
      </c>
      <c r="U62" s="36">
        <v>2010.8987757539567</v>
      </c>
      <c r="V62" s="36">
        <v>1409.4468498059123</v>
      </c>
      <c r="W62" s="36">
        <v>1895.7039414750675</v>
      </c>
      <c r="X62" s="81">
        <v>3671.3136244462526</v>
      </c>
      <c r="Y62" s="82">
        <v>2611.5902721272937</v>
      </c>
      <c r="Z62" s="86">
        <v>3535.503119066992</v>
      </c>
      <c r="AA62" s="36"/>
      <c r="AB62">
        <v>34120.21</v>
      </c>
      <c r="AC62">
        <v>26555.25</v>
      </c>
      <c r="AD62">
        <v>30770.26</v>
      </c>
      <c r="AE62" s="21">
        <v>75811.08</v>
      </c>
      <c r="AF62">
        <v>47321.11</v>
      </c>
      <c r="AG62">
        <v>44248.75</v>
      </c>
      <c r="AH62">
        <v>44088.08</v>
      </c>
      <c r="AI62">
        <v>35497.870000000003</v>
      </c>
      <c r="AJ62">
        <v>40653.31</v>
      </c>
      <c r="AK62" s="36"/>
      <c r="AL62" s="36">
        <v>8.3050479874013289E-2</v>
      </c>
      <c r="AM62" s="36">
        <v>6.4636948473482184E-2</v>
      </c>
      <c r="AN62" s="36">
        <v>7.4896516136569974E-2</v>
      </c>
      <c r="AO62" s="36">
        <v>0.36594893875836904</v>
      </c>
      <c r="AP62" s="36">
        <v>0.22842452561509535</v>
      </c>
      <c r="AQ62" s="36">
        <v>0.21359388500842333</v>
      </c>
      <c r="AR62" s="36">
        <v>6.9114652594860312E-2</v>
      </c>
      <c r="AS62" s="36">
        <v>5.5648214957592035E-2</v>
      </c>
      <c r="AT62" s="36">
        <v>6.3730137431277575E-2</v>
      </c>
      <c r="AU62" s="2"/>
      <c r="AV62" s="3">
        <v>7.5737644499999996</v>
      </c>
      <c r="AW62" s="3">
        <v>8.6066986700000001</v>
      </c>
      <c r="AX62" s="3">
        <v>7.2152074300000004</v>
      </c>
      <c r="AY62" s="3">
        <v>33.372607500000001</v>
      </c>
      <c r="AZ62" s="3">
        <v>30.415746800000001</v>
      </c>
      <c r="BA62" s="3">
        <v>20.576713900000001</v>
      </c>
      <c r="BB62" s="3">
        <v>6.3028907199999997</v>
      </c>
      <c r="BC62" s="3">
        <v>7.4098086199999997</v>
      </c>
      <c r="BD62" s="3">
        <v>6.1394866500000003</v>
      </c>
      <c r="BF62" s="5">
        <v>7.7985568499999998</v>
      </c>
      <c r="BG62" s="5">
        <v>28.121689399999998</v>
      </c>
      <c r="BH62" s="5">
        <v>6.6173953300000008</v>
      </c>
      <c r="BI62" s="5">
        <v>42.537641579999999</v>
      </c>
      <c r="BJ62" s="5"/>
      <c r="BK62" s="5">
        <v>18.333308007528707</v>
      </c>
      <c r="BL62" s="5">
        <v>66.110128242798552</v>
      </c>
      <c r="BM62" s="5">
        <v>15.556563749672744</v>
      </c>
    </row>
    <row r="63" spans="1:65" x14ac:dyDescent="0.2">
      <c r="A63" s="2" t="s">
        <v>64</v>
      </c>
      <c r="B63">
        <v>4607.01</v>
      </c>
      <c r="C63">
        <v>6266.13</v>
      </c>
      <c r="D63">
        <v>5810.89</v>
      </c>
      <c r="E63" s="65">
        <v>2435.25</v>
      </c>
      <c r="F63" s="66">
        <v>3309.31</v>
      </c>
      <c r="G63" s="73">
        <v>3083.4</v>
      </c>
      <c r="H63">
        <v>3928.4</v>
      </c>
      <c r="I63">
        <v>5337.04</v>
      </c>
      <c r="J63">
        <v>4965.1099999999997</v>
      </c>
      <c r="K63" s="65">
        <v>3053.03</v>
      </c>
      <c r="L63" s="66">
        <v>4225.99</v>
      </c>
      <c r="M63" s="73">
        <v>3935.54</v>
      </c>
      <c r="N63" s="36"/>
      <c r="O63" s="36">
        <v>1972.3478037503212</v>
      </c>
      <c r="P63" s="36">
        <v>2682.6483431800671</v>
      </c>
      <c r="Q63" s="36">
        <v>2487.751519821903</v>
      </c>
      <c r="R63" s="63">
        <v>1867.6662320730115</v>
      </c>
      <c r="S63" s="64">
        <v>2538.0090497737556</v>
      </c>
      <c r="T63" s="72">
        <v>2364.7518981516987</v>
      </c>
      <c r="U63" s="2">
        <v>1466.2585846521351</v>
      </c>
      <c r="V63" s="2">
        <v>1992.0274708868321</v>
      </c>
      <c r="W63" s="2">
        <v>1853.2061809495372</v>
      </c>
      <c r="X63" s="65">
        <v>2760.1753910134707</v>
      </c>
      <c r="Y63" s="66">
        <v>3820.6220052436483</v>
      </c>
      <c r="Z63" s="73">
        <v>3558.0327276014823</v>
      </c>
      <c r="AA63" s="36"/>
      <c r="AB63">
        <v>27201.16</v>
      </c>
      <c r="AC63">
        <v>46837.440000000002</v>
      </c>
      <c r="AD63">
        <v>42185.29</v>
      </c>
      <c r="AE63" s="21">
        <v>33844.629999999997</v>
      </c>
      <c r="AF63">
        <v>42232.78</v>
      </c>
      <c r="AG63">
        <v>35983.72</v>
      </c>
      <c r="AH63">
        <v>24086.36</v>
      </c>
      <c r="AI63">
        <v>38290.620000000003</v>
      </c>
      <c r="AJ63">
        <v>33614.11</v>
      </c>
      <c r="AK63" s="36"/>
      <c r="AL63" s="36">
        <v>6.6209129168015537E-2</v>
      </c>
      <c r="AM63" s="36">
        <v>0.1140049216599284</v>
      </c>
      <c r="AN63" s="36">
        <v>0.10268133103883048</v>
      </c>
      <c r="AO63" s="36">
        <v>0.16337198244860326</v>
      </c>
      <c r="AP63" s="36">
        <v>0.20386256233014582</v>
      </c>
      <c r="AQ63" s="36">
        <v>0.17369761974870029</v>
      </c>
      <c r="AR63" s="2">
        <v>3.7758968040221746E-2</v>
      </c>
      <c r="AS63" s="2">
        <v>6.0026267847041882E-2</v>
      </c>
      <c r="AT63" s="2">
        <v>5.2695139705231438E-2</v>
      </c>
      <c r="AU63" s="2"/>
      <c r="AV63" s="3">
        <v>8.2079657699999995</v>
      </c>
      <c r="AW63" s="3">
        <v>10.332797100000001</v>
      </c>
      <c r="AX63" s="3">
        <v>10.0042779</v>
      </c>
      <c r="AY63" s="3">
        <v>20.253274099999999</v>
      </c>
      <c r="AZ63" s="3">
        <v>18.477013700000001</v>
      </c>
      <c r="BA63" s="3">
        <v>16.923419800000001</v>
      </c>
      <c r="BB63" s="3">
        <v>4.6809906899999998</v>
      </c>
      <c r="BC63" s="3">
        <v>5.4404602899999999</v>
      </c>
      <c r="BD63" s="3">
        <v>5.13410587</v>
      </c>
      <c r="BF63" s="5">
        <v>9.5150135900000006</v>
      </c>
      <c r="BG63" s="5">
        <v>18.551235866666669</v>
      </c>
      <c r="BH63" s="5">
        <v>5.0851856166666662</v>
      </c>
      <c r="BI63" s="5">
        <v>33.151435073333332</v>
      </c>
      <c r="BJ63" s="5"/>
      <c r="BK63" s="5">
        <v>28.701664253605053</v>
      </c>
      <c r="BL63" s="5">
        <v>55.959073342164579</v>
      </c>
      <c r="BM63" s="5">
        <v>15.339262404230386</v>
      </c>
    </row>
    <row r="64" spans="1:65" ht="17" thickBot="1" x14ac:dyDescent="0.25">
      <c r="A64" s="2" t="s">
        <v>65</v>
      </c>
      <c r="B64">
        <v>2124.42</v>
      </c>
      <c r="C64">
        <v>1869.52</v>
      </c>
      <c r="D64">
        <v>2103.77</v>
      </c>
      <c r="E64" s="65">
        <v>1123.78</v>
      </c>
      <c r="F64" s="66">
        <v>1034.53</v>
      </c>
      <c r="G64" s="73">
        <v>1108.51</v>
      </c>
      <c r="H64">
        <v>1793.46</v>
      </c>
      <c r="I64">
        <v>1667.63</v>
      </c>
      <c r="J64">
        <v>1779.87</v>
      </c>
      <c r="K64" s="65">
        <v>1431.69</v>
      </c>
      <c r="L64" s="66">
        <v>1320.3</v>
      </c>
      <c r="M64" s="73">
        <v>1387.11</v>
      </c>
      <c r="N64" s="36"/>
      <c r="O64" s="36">
        <v>909.50423837657343</v>
      </c>
      <c r="P64" s="36">
        <v>800.3767445842966</v>
      </c>
      <c r="Q64" s="36">
        <v>900.66358421097698</v>
      </c>
      <c r="R64" s="81">
        <v>861.86057212976448</v>
      </c>
      <c r="S64" s="82">
        <v>793.41207147787406</v>
      </c>
      <c r="T64" s="86">
        <v>850.1495513459621</v>
      </c>
      <c r="U64">
        <v>669.4013138250225</v>
      </c>
      <c r="V64">
        <v>622.43580173186035</v>
      </c>
      <c r="W64">
        <v>664.32890415049269</v>
      </c>
      <c r="X64" s="65">
        <v>1294.358557092487</v>
      </c>
      <c r="Y64" s="66">
        <v>1193.653376729048</v>
      </c>
      <c r="Z64" s="73">
        <v>1254.0547870897747</v>
      </c>
      <c r="AA64" s="36"/>
      <c r="AB64">
        <v>6114.39</v>
      </c>
      <c r="AC64">
        <v>5917.27</v>
      </c>
      <c r="AD64">
        <v>7009.43</v>
      </c>
      <c r="AE64" s="21">
        <f>6476.96+4162.26</f>
        <v>10639.220000000001</v>
      </c>
      <c r="AF64">
        <v>9774.27</v>
      </c>
      <c r="AG64">
        <f>5230.91+5387.22</f>
        <v>10618.130000000001</v>
      </c>
      <c r="AH64">
        <f>869.87+195.75</f>
        <v>1065.6199999999999</v>
      </c>
      <c r="AI64">
        <v>17728.330000000002</v>
      </c>
      <c r="AJ64">
        <v>18445.72</v>
      </c>
      <c r="AK64" s="36"/>
      <c r="AL64" s="36">
        <v>1.4882763723812607E-2</v>
      </c>
      <c r="AM64" s="36">
        <v>1.4402962732178457E-2</v>
      </c>
      <c r="AN64" s="36">
        <v>1.7061340629008586E-2</v>
      </c>
      <c r="AO64" s="2">
        <v>5.1356757722180124E-2</v>
      </c>
      <c r="AP64" s="2">
        <v>4.7181543036159936E-2</v>
      </c>
      <c r="AQ64" s="2">
        <v>5.1254953828627707E-2</v>
      </c>
      <c r="AR64">
        <v>1.6705185641591794E-3</v>
      </c>
      <c r="AS64">
        <v>2.7791806062705385E-2</v>
      </c>
      <c r="AT64">
        <v>2.8916422072861117E-2</v>
      </c>
      <c r="AU64" s="2"/>
      <c r="AV64" s="3">
        <v>3.9845426800000001</v>
      </c>
      <c r="AW64" s="3">
        <v>4.2238938600000004</v>
      </c>
      <c r="AX64" s="3">
        <v>4.6498842800000002</v>
      </c>
      <c r="AY64" s="3">
        <v>13.749676900000001</v>
      </c>
      <c r="AZ64" s="3">
        <v>13.8367247</v>
      </c>
      <c r="BA64" s="3">
        <v>13.968984600000001</v>
      </c>
      <c r="BB64" s="3">
        <v>0.44724573000000001</v>
      </c>
      <c r="BC64" s="3">
        <v>8.1503813600000008</v>
      </c>
      <c r="BD64" s="3">
        <v>7.8808587899999996</v>
      </c>
      <c r="BF64" s="5">
        <v>4.2861069400000007</v>
      </c>
      <c r="BG64" s="5">
        <v>13.8517954</v>
      </c>
      <c r="BH64" s="5">
        <v>5.4928286266666673</v>
      </c>
      <c r="BI64" s="5">
        <v>23.630730966666668</v>
      </c>
      <c r="BJ64" s="5"/>
      <c r="BK64" s="5">
        <v>18.137851706940218</v>
      </c>
      <c r="BL64" s="5">
        <v>58.617718679710919</v>
      </c>
      <c r="BM64" s="5">
        <v>23.244429613348863</v>
      </c>
    </row>
    <row r="65" spans="1:65" x14ac:dyDescent="0.2">
      <c r="A65" s="2"/>
      <c r="E65" s="2"/>
      <c r="F65" s="2"/>
      <c r="G65" s="2"/>
      <c r="H65" s="2"/>
      <c r="I65" s="2"/>
      <c r="J65" s="2"/>
      <c r="K65" s="2"/>
      <c r="L65" s="2"/>
      <c r="M65" s="2"/>
      <c r="N65" s="2"/>
      <c r="O65" s="2"/>
      <c r="P65" s="2"/>
      <c r="Q65" s="2"/>
      <c r="R65" s="2"/>
      <c r="S65" s="2"/>
      <c r="T65" s="2"/>
      <c r="U65" s="36"/>
      <c r="V65" s="2"/>
      <c r="W65" s="2"/>
      <c r="X65" s="2"/>
      <c r="Y65" s="2"/>
      <c r="Z65" s="2"/>
      <c r="AA65" s="2"/>
      <c r="AB65" s="21"/>
      <c r="AE65" s="2"/>
      <c r="AF65" s="2"/>
      <c r="AG65" s="2"/>
      <c r="AH65" s="2"/>
      <c r="AI65" s="2"/>
      <c r="AJ65" s="2"/>
      <c r="AK65" s="2"/>
      <c r="AL65" s="2"/>
      <c r="AM65" s="2"/>
      <c r="AN65" s="2"/>
      <c r="AO65" s="2"/>
      <c r="AP65" s="2"/>
      <c r="AQ65" s="2"/>
      <c r="AR65" s="2"/>
      <c r="AS65" s="2"/>
      <c r="AT65" s="2"/>
      <c r="AU65" s="2"/>
      <c r="BF65" s="16"/>
      <c r="BG65" s="16"/>
      <c r="BH65" s="16"/>
      <c r="BI65" s="16"/>
      <c r="BJ65" s="17"/>
      <c r="BK65" s="16"/>
      <c r="BL65" s="16"/>
      <c r="BM65" s="16"/>
    </row>
    <row r="66" spans="1:65" x14ac:dyDescent="0.2">
      <c r="U66" s="36"/>
      <c r="BF66" s="5"/>
      <c r="BG66" s="5"/>
      <c r="BH66" s="5"/>
      <c r="BI66" s="5"/>
      <c r="BJ66" s="14"/>
      <c r="BK66" s="5"/>
      <c r="BL66" s="5"/>
      <c r="BM66" s="5"/>
    </row>
    <row r="67" spans="1:65" x14ac:dyDescent="0.2">
      <c r="U67" s="36"/>
      <c r="BF67" s="5"/>
      <c r="BG67" s="5"/>
      <c r="BH67" s="5"/>
      <c r="BI67" s="5"/>
      <c r="BJ67" s="14"/>
      <c r="BK67" s="5"/>
      <c r="BL67" s="5"/>
      <c r="BM67" s="5"/>
    </row>
    <row r="68" spans="1:65" x14ac:dyDescent="0.2">
      <c r="U68" s="36"/>
      <c r="AX68" s="6"/>
      <c r="AY68" s="7"/>
      <c r="AZ68" s="7"/>
      <c r="BA68" s="7"/>
    </row>
    <row r="69" spans="1:65" x14ac:dyDescent="0.2">
      <c r="A69" s="8"/>
      <c r="B69" s="8"/>
      <c r="C69" s="8"/>
      <c r="D69" s="8"/>
      <c r="E69" s="8"/>
      <c r="F69" s="8"/>
      <c r="G69" s="8"/>
      <c r="H69" s="8"/>
      <c r="I69" s="8"/>
      <c r="J69" s="8"/>
      <c r="K69" s="8"/>
      <c r="L69" s="8"/>
      <c r="M69" s="8"/>
      <c r="N69" s="8"/>
      <c r="O69" s="8"/>
      <c r="P69" s="8"/>
      <c r="Q69" s="8"/>
      <c r="R69" s="8"/>
      <c r="S69" s="8"/>
      <c r="T69" s="8"/>
      <c r="U69" s="36"/>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X69" s="9"/>
    </row>
    <row r="70" spans="1:65" x14ac:dyDescent="0.2">
      <c r="U70" s="36"/>
      <c r="AX70" s="9"/>
      <c r="BD70" s="12"/>
    </row>
    <row r="71" spans="1:65" x14ac:dyDescent="0.2">
      <c r="U71" s="36"/>
      <c r="AX71" s="9"/>
    </row>
    <row r="72" spans="1:65" x14ac:dyDescent="0.2">
      <c r="U72" s="36"/>
    </row>
    <row r="73" spans="1:65" x14ac:dyDescent="0.2">
      <c r="U73" s="36"/>
    </row>
    <row r="74" spans="1:65" x14ac:dyDescent="0.2">
      <c r="U74" s="36"/>
    </row>
    <row r="75" spans="1:65" x14ac:dyDescent="0.2">
      <c r="U75" s="36"/>
    </row>
    <row r="76" spans="1:65" x14ac:dyDescent="0.2">
      <c r="U76" s="36"/>
    </row>
    <row r="77" spans="1:65" x14ac:dyDescent="0.2">
      <c r="U77" s="36"/>
    </row>
    <row r="78" spans="1:65" x14ac:dyDescent="0.2">
      <c r="U78" s="36"/>
    </row>
    <row r="79" spans="1:65" x14ac:dyDescent="0.2">
      <c r="U79" s="36"/>
    </row>
    <row r="80" spans="1:65" x14ac:dyDescent="0.2">
      <c r="U80" s="36"/>
    </row>
    <row r="81" spans="21:21" x14ac:dyDescent="0.2">
      <c r="U81" s="36"/>
    </row>
    <row r="82" spans="21:21" x14ac:dyDescent="0.2">
      <c r="U82" s="36"/>
    </row>
    <row r="83" spans="21:21" x14ac:dyDescent="0.2">
      <c r="U83" s="36"/>
    </row>
    <row r="84" spans="21:21" x14ac:dyDescent="0.2">
      <c r="U84" s="36"/>
    </row>
    <row r="85" spans="21:21" x14ac:dyDescent="0.2">
      <c r="U85" s="36"/>
    </row>
    <row r="86" spans="21:21" x14ac:dyDescent="0.2">
      <c r="U86" s="36"/>
    </row>
    <row r="87" spans="21:21" x14ac:dyDescent="0.2">
      <c r="U87" s="36"/>
    </row>
    <row r="88" spans="21:21" x14ac:dyDescent="0.2">
      <c r="U88" s="36"/>
    </row>
    <row r="89" spans="21:21" x14ac:dyDescent="0.2">
      <c r="U89" s="36"/>
    </row>
    <row r="90" spans="21:21" x14ac:dyDescent="0.2">
      <c r="U90" s="36"/>
    </row>
    <row r="91" spans="21:21" x14ac:dyDescent="0.2">
      <c r="U91" s="36"/>
    </row>
    <row r="92" spans="21:21" x14ac:dyDescent="0.2">
      <c r="U92" s="36"/>
    </row>
    <row r="93" spans="21:21" x14ac:dyDescent="0.2">
      <c r="U93" s="36"/>
    </row>
    <row r="94" spans="21:21" x14ac:dyDescent="0.2">
      <c r="U94" s="36"/>
    </row>
    <row r="95" spans="21:21" x14ac:dyDescent="0.2">
      <c r="U95" s="36"/>
    </row>
    <row r="96" spans="21:21" x14ac:dyDescent="0.2">
      <c r="U96" s="36"/>
    </row>
    <row r="97" spans="21:21" x14ac:dyDescent="0.2">
      <c r="U97" s="36"/>
    </row>
    <row r="98" spans="21:21" x14ac:dyDescent="0.2">
      <c r="U98" s="36"/>
    </row>
    <row r="99" spans="21:21" x14ac:dyDescent="0.2">
      <c r="U99" s="36"/>
    </row>
    <row r="100" spans="21:21" x14ac:dyDescent="0.2">
      <c r="U100" s="36"/>
    </row>
    <row r="101" spans="21:21" x14ac:dyDescent="0.2">
      <c r="U101" s="36"/>
    </row>
    <row r="102" spans="21:21" x14ac:dyDescent="0.2">
      <c r="U102" s="36"/>
    </row>
    <row r="103" spans="21:21" x14ac:dyDescent="0.2">
      <c r="U103" s="36"/>
    </row>
    <row r="104" spans="21:21" x14ac:dyDescent="0.2">
      <c r="U104" s="36"/>
    </row>
    <row r="105" spans="21:21" x14ac:dyDescent="0.2">
      <c r="U105" s="36"/>
    </row>
    <row r="106" spans="21:21" x14ac:dyDescent="0.2">
      <c r="U106" s="36"/>
    </row>
    <row r="107" spans="21:21" x14ac:dyDescent="0.2">
      <c r="U107" s="36"/>
    </row>
    <row r="108" spans="21:21" x14ac:dyDescent="0.2">
      <c r="U108" s="36"/>
    </row>
    <row r="109" spans="21:21" x14ac:dyDescent="0.2">
      <c r="U109" s="36"/>
    </row>
    <row r="110" spans="21:21" x14ac:dyDescent="0.2">
      <c r="U110" s="36"/>
    </row>
  </sheetData>
  <mergeCells count="25">
    <mergeCell ref="BF4:BI4"/>
    <mergeCell ref="A3:BM3"/>
    <mergeCell ref="BK4:BM4"/>
    <mergeCell ref="AV5:AX5"/>
    <mergeCell ref="AY5:BA5"/>
    <mergeCell ref="BB5:BD5"/>
    <mergeCell ref="AV4:BD4"/>
    <mergeCell ref="AL5:AN5"/>
    <mergeCell ref="AO5:AQ5"/>
    <mergeCell ref="AR5:AT5"/>
    <mergeCell ref="AL4:AT4"/>
    <mergeCell ref="AB4:AJ4"/>
    <mergeCell ref="AB5:AD5"/>
    <mergeCell ref="AE5:AG5"/>
    <mergeCell ref="AH5:AJ5"/>
    <mergeCell ref="O5:Q5"/>
    <mergeCell ref="R5:T5"/>
    <mergeCell ref="U5:W5"/>
    <mergeCell ref="X5:Z5"/>
    <mergeCell ref="O4:Z4"/>
    <mergeCell ref="B4:M4"/>
    <mergeCell ref="B5:D5"/>
    <mergeCell ref="E5:G5"/>
    <mergeCell ref="H5:J5"/>
    <mergeCell ref="K5:M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BDA2D-8AB3-DF48-AB28-934B4EF1EAFF}">
  <dimension ref="A1:BG69"/>
  <sheetViews>
    <sheetView topLeftCell="AD1" workbookViewId="0">
      <selection activeCell="AX11" sqref="AX11"/>
    </sheetView>
  </sheetViews>
  <sheetFormatPr baseColWidth="10" defaultRowHeight="16" x14ac:dyDescent="0.2"/>
  <cols>
    <col min="1" max="1" width="13.5" customWidth="1"/>
  </cols>
  <sheetData>
    <row r="1" spans="1:59" s="15" customFormat="1" ht="15" x14ac:dyDescent="0.2">
      <c r="A1" s="40" t="s">
        <v>141</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14"/>
      <c r="BA1" s="14"/>
      <c r="BB1" s="14"/>
      <c r="BC1" s="14"/>
      <c r="BD1" s="14"/>
      <c r="BE1" s="14"/>
      <c r="BF1" s="14"/>
      <c r="BG1" s="14"/>
    </row>
    <row r="2" spans="1:59" s="15" customFormat="1" x14ac:dyDescent="0.2">
      <c r="A2" s="29"/>
      <c r="B2"/>
      <c r="C2"/>
      <c r="D2"/>
      <c r="E2"/>
      <c r="F2"/>
      <c r="G2"/>
      <c r="H2"/>
      <c r="I2"/>
      <c r="J2"/>
      <c r="K2"/>
      <c r="L2"/>
      <c r="M2"/>
      <c r="N2"/>
      <c r="O2"/>
      <c r="P2"/>
      <c r="Q2"/>
      <c r="R2"/>
      <c r="S2"/>
      <c r="T2"/>
      <c r="U2"/>
      <c r="V2"/>
      <c r="W2"/>
      <c r="X2"/>
      <c r="Y2"/>
      <c r="Z2"/>
      <c r="AA2"/>
      <c r="AB2"/>
      <c r="AC2"/>
      <c r="AD2"/>
      <c r="AE2"/>
      <c r="AF2"/>
      <c r="AG2"/>
      <c r="AH2"/>
      <c r="AI2"/>
      <c r="AJ2"/>
      <c r="AK2"/>
      <c r="AL2"/>
      <c r="AM2"/>
      <c r="AN2"/>
      <c r="AO2"/>
      <c r="AP2" s="29"/>
      <c r="AQ2" s="29"/>
      <c r="AR2" s="29"/>
      <c r="AS2" s="29"/>
      <c r="AT2" s="29"/>
      <c r="AU2" s="29"/>
      <c r="AV2" s="29"/>
      <c r="AW2" s="29"/>
      <c r="AX2" s="29"/>
      <c r="AY2" s="29"/>
      <c r="AZ2" s="14"/>
      <c r="BA2" s="14"/>
      <c r="BB2" s="14"/>
      <c r="BC2" s="14"/>
      <c r="BD2" s="14"/>
      <c r="BE2" s="14"/>
      <c r="BF2" s="14"/>
      <c r="BG2" s="14"/>
    </row>
    <row r="3" spans="1:59" s="15" customFormat="1" ht="15" x14ac:dyDescent="0.2">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14"/>
      <c r="BA3" s="14"/>
      <c r="BB3" s="14"/>
      <c r="BC3" s="14"/>
      <c r="BD3" s="14"/>
      <c r="BE3" s="14"/>
      <c r="BF3" s="14"/>
      <c r="BG3" s="14"/>
    </row>
    <row r="4" spans="1:59" s="10" customFormat="1" x14ac:dyDescent="0.2">
      <c r="A4" s="5"/>
      <c r="B4" s="56" t="s">
        <v>144</v>
      </c>
      <c r="C4" s="56"/>
      <c r="D4" s="56"/>
      <c r="E4" s="56"/>
      <c r="F4" s="56"/>
      <c r="G4" s="56"/>
      <c r="H4" s="56"/>
      <c r="I4" s="56"/>
      <c r="J4" s="56"/>
      <c r="K4" s="56"/>
      <c r="L4" s="56"/>
      <c r="M4" s="56"/>
      <c r="N4" s="5"/>
      <c r="O4" s="56" t="s">
        <v>147</v>
      </c>
      <c r="P4" s="56"/>
      <c r="Q4" s="56"/>
      <c r="R4" s="56"/>
      <c r="S4" s="56"/>
      <c r="T4" s="56"/>
      <c r="U4" s="56"/>
      <c r="V4" s="56"/>
      <c r="W4" s="56"/>
      <c r="X4" s="56"/>
      <c r="Y4" s="56"/>
      <c r="Z4" s="56"/>
      <c r="AA4" s="5"/>
      <c r="AB4" s="56" t="s">
        <v>145</v>
      </c>
      <c r="AC4" s="56"/>
      <c r="AD4" s="56"/>
      <c r="AE4" s="56"/>
      <c r="AF4" s="56"/>
      <c r="AG4" s="56"/>
      <c r="AH4" s="5"/>
      <c r="AI4" s="56" t="s">
        <v>146</v>
      </c>
      <c r="AJ4" s="56"/>
      <c r="AK4" s="56"/>
      <c r="AL4" s="56"/>
      <c r="AM4" s="56"/>
      <c r="AN4" s="56"/>
      <c r="AO4" s="19"/>
      <c r="AP4" s="56" t="s">
        <v>148</v>
      </c>
      <c r="AQ4" s="56"/>
      <c r="AR4" s="56"/>
      <c r="AS4" s="56"/>
      <c r="AT4" s="56"/>
      <c r="AU4" s="56"/>
      <c r="AV4" s="11"/>
      <c r="AW4" s="56" t="s">
        <v>150</v>
      </c>
      <c r="AX4" s="56"/>
      <c r="AY4" s="56"/>
      <c r="AZ4" s="42"/>
      <c r="BA4" s="42"/>
      <c r="BB4" s="42"/>
      <c r="BC4" s="5"/>
      <c r="BD4" s="5"/>
      <c r="BE4" s="42"/>
      <c r="BF4" s="42"/>
      <c r="BG4" s="42"/>
    </row>
    <row r="5" spans="1:59" x14ac:dyDescent="0.2">
      <c r="A5" s="10"/>
      <c r="B5" s="92" t="s">
        <v>95</v>
      </c>
      <c r="C5" s="92"/>
      <c r="D5" s="92"/>
      <c r="E5" s="93" t="s">
        <v>96</v>
      </c>
      <c r="F5" s="92"/>
      <c r="G5" s="95"/>
      <c r="H5" s="92" t="s">
        <v>97</v>
      </c>
      <c r="I5" s="92"/>
      <c r="J5" s="92"/>
      <c r="K5" s="93" t="s">
        <v>98</v>
      </c>
      <c r="L5" s="92"/>
      <c r="M5" s="95"/>
      <c r="O5" s="92" t="s">
        <v>95</v>
      </c>
      <c r="P5" s="92"/>
      <c r="Q5" s="92"/>
      <c r="R5" s="93" t="s">
        <v>96</v>
      </c>
      <c r="S5" s="92"/>
      <c r="T5" s="95"/>
      <c r="U5" s="92" t="s">
        <v>97</v>
      </c>
      <c r="V5" s="92"/>
      <c r="W5" s="92"/>
      <c r="X5" s="93" t="s">
        <v>98</v>
      </c>
      <c r="Y5" s="92"/>
      <c r="Z5" s="95"/>
      <c r="AB5" s="97" t="s">
        <v>2</v>
      </c>
      <c r="AC5" s="97"/>
      <c r="AD5" s="97"/>
      <c r="AE5" s="98" t="s">
        <v>3</v>
      </c>
      <c r="AF5" s="97"/>
      <c r="AG5" s="97"/>
      <c r="AI5" s="97" t="s">
        <v>2</v>
      </c>
      <c r="AJ5" s="97"/>
      <c r="AK5" s="97"/>
      <c r="AL5" s="98" t="s">
        <v>3</v>
      </c>
      <c r="AM5" s="97"/>
      <c r="AN5" s="97"/>
      <c r="AO5" s="1"/>
      <c r="AP5" s="100" t="s">
        <v>2</v>
      </c>
      <c r="AQ5" s="100"/>
      <c r="AR5" s="100"/>
      <c r="AS5" s="102" t="s">
        <v>3</v>
      </c>
      <c r="AT5" s="100"/>
      <c r="AU5" s="100"/>
      <c r="AV5" s="5"/>
      <c r="AW5" s="50" t="s">
        <v>2</v>
      </c>
      <c r="AX5" s="50" t="s">
        <v>3</v>
      </c>
      <c r="AY5" s="50" t="s">
        <v>4</v>
      </c>
    </row>
    <row r="6" spans="1:59" x14ac:dyDescent="0.2">
      <c r="A6" s="10"/>
      <c r="B6" s="88" t="s">
        <v>5</v>
      </c>
      <c r="C6" s="88" t="s">
        <v>6</v>
      </c>
      <c r="D6" s="88" t="s">
        <v>7</v>
      </c>
      <c r="E6" s="94" t="s">
        <v>5</v>
      </c>
      <c r="F6" s="88" t="s">
        <v>6</v>
      </c>
      <c r="G6" s="96" t="s">
        <v>7</v>
      </c>
      <c r="H6" s="88" t="s">
        <v>5</v>
      </c>
      <c r="I6" s="88" t="s">
        <v>6</v>
      </c>
      <c r="J6" s="88" t="s">
        <v>7</v>
      </c>
      <c r="K6" s="94" t="s">
        <v>5</v>
      </c>
      <c r="L6" s="88" t="s">
        <v>6</v>
      </c>
      <c r="M6" s="96" t="s">
        <v>7</v>
      </c>
      <c r="O6" s="88" t="s">
        <v>5</v>
      </c>
      <c r="P6" s="88" t="s">
        <v>6</v>
      </c>
      <c r="Q6" s="88" t="s">
        <v>7</v>
      </c>
      <c r="R6" s="94" t="s">
        <v>5</v>
      </c>
      <c r="S6" s="88" t="s">
        <v>6</v>
      </c>
      <c r="T6" s="96" t="s">
        <v>7</v>
      </c>
      <c r="U6" s="88" t="s">
        <v>5</v>
      </c>
      <c r="V6" s="88" t="s">
        <v>6</v>
      </c>
      <c r="W6" s="88" t="s">
        <v>7</v>
      </c>
      <c r="X6" s="94" t="s">
        <v>5</v>
      </c>
      <c r="Y6" s="88" t="s">
        <v>6</v>
      </c>
      <c r="Z6" s="96" t="s">
        <v>7</v>
      </c>
      <c r="AB6" s="88" t="s">
        <v>5</v>
      </c>
      <c r="AC6" s="88" t="s">
        <v>6</v>
      </c>
      <c r="AD6" s="88" t="s">
        <v>7</v>
      </c>
      <c r="AE6" s="94" t="s">
        <v>5</v>
      </c>
      <c r="AF6" s="88" t="s">
        <v>6</v>
      </c>
      <c r="AG6" s="88" t="s">
        <v>7</v>
      </c>
      <c r="AI6" s="88" t="s">
        <v>5</v>
      </c>
      <c r="AJ6" s="88" t="s">
        <v>6</v>
      </c>
      <c r="AK6" s="88" t="s">
        <v>7</v>
      </c>
      <c r="AL6" s="94" t="s">
        <v>5</v>
      </c>
      <c r="AM6" s="88" t="s">
        <v>6</v>
      </c>
      <c r="AN6" s="88" t="s">
        <v>7</v>
      </c>
      <c r="AO6" s="1"/>
      <c r="AP6" s="101" t="s">
        <v>5</v>
      </c>
      <c r="AQ6" s="101" t="s">
        <v>6</v>
      </c>
      <c r="AR6" s="101" t="s">
        <v>7</v>
      </c>
      <c r="AS6" s="103" t="s">
        <v>5</v>
      </c>
      <c r="AT6" s="101" t="s">
        <v>6</v>
      </c>
      <c r="AU6" s="101" t="s">
        <v>7</v>
      </c>
      <c r="AV6" s="10"/>
      <c r="AW6" s="10"/>
      <c r="AX6" s="10"/>
      <c r="AY6" s="10"/>
    </row>
    <row r="7" spans="1:59" x14ac:dyDescent="0.2">
      <c r="A7" s="13">
        <v>44151</v>
      </c>
      <c r="B7">
        <v>62.53</v>
      </c>
      <c r="C7">
        <v>52.61</v>
      </c>
      <c r="D7">
        <v>107.89</v>
      </c>
      <c r="E7" s="65">
        <v>217.86</v>
      </c>
      <c r="F7" s="66">
        <v>173.65</v>
      </c>
      <c r="G7" s="73">
        <v>345.37</v>
      </c>
      <c r="H7">
        <v>39.869999999999997</v>
      </c>
      <c r="I7">
        <v>33.880000000000003</v>
      </c>
      <c r="J7">
        <v>67.33</v>
      </c>
      <c r="K7" s="65">
        <v>35.14</v>
      </c>
      <c r="L7" s="66">
        <v>29.47</v>
      </c>
      <c r="M7" s="73">
        <v>56.56</v>
      </c>
      <c r="N7" s="36"/>
      <c r="O7" s="36">
        <v>26.770271427348234</v>
      </c>
      <c r="P7" s="36">
        <v>22.523332477095643</v>
      </c>
      <c r="Q7" s="36">
        <v>46.189742272454836</v>
      </c>
      <c r="R7" s="63">
        <v>167.08336528874915</v>
      </c>
      <c r="S7" s="64">
        <v>133.17739090421045</v>
      </c>
      <c r="T7" s="72">
        <v>264.87460694838558</v>
      </c>
      <c r="U7" s="36">
        <v>14.881307853090474</v>
      </c>
      <c r="V7" s="36">
        <v>12.64556584054942</v>
      </c>
      <c r="W7" s="36">
        <v>25.13063601074948</v>
      </c>
      <c r="X7" s="63">
        <v>31.769279450320944</v>
      </c>
      <c r="Y7" s="64">
        <v>26.643160654552027</v>
      </c>
      <c r="Z7" s="72">
        <v>51.134617123225745</v>
      </c>
      <c r="AA7" s="36"/>
      <c r="AB7">
        <v>2690.26</v>
      </c>
      <c r="AC7">
        <v>1759.06</v>
      </c>
      <c r="AD7">
        <v>3623.49</v>
      </c>
      <c r="AE7" s="65">
        <v>7046.26</v>
      </c>
      <c r="AF7" s="66">
        <v>4542.0200000000004</v>
      </c>
      <c r="AG7" s="66">
        <v>3759.49</v>
      </c>
      <c r="AH7" s="36"/>
      <c r="AI7" s="9">
        <v>5.445649973685276E-3</v>
      </c>
      <c r="AJ7" s="9">
        <v>3.5607060442897046E-3</v>
      </c>
      <c r="AK7" s="36">
        <v>7.3347030484595763E-3</v>
      </c>
      <c r="AL7" s="63">
        <v>5.1404187137486547E-3</v>
      </c>
      <c r="AM7" s="64">
        <v>3.3135144894200141E-3</v>
      </c>
      <c r="AN7" s="64">
        <v>2.7426397479160475E-3</v>
      </c>
      <c r="AO7" s="36"/>
      <c r="AP7" s="3">
        <v>22.642637499999999</v>
      </c>
      <c r="AQ7" s="3">
        <v>18.261019000000001</v>
      </c>
      <c r="AR7" s="3">
        <v>18.936592999999998</v>
      </c>
      <c r="AS7" s="104">
        <v>21.373507</v>
      </c>
      <c r="AT7" s="105">
        <v>16.9933014</v>
      </c>
      <c r="AU7" s="105">
        <v>7.0808937199999997</v>
      </c>
      <c r="AV7" s="10"/>
      <c r="AW7" s="5">
        <v>19.946749833333332</v>
      </c>
      <c r="AX7" s="5">
        <v>15.149234039999998</v>
      </c>
      <c r="AY7" s="5">
        <v>35.095983873333331</v>
      </c>
    </row>
    <row r="8" spans="1:59" x14ac:dyDescent="0.2">
      <c r="A8" s="13">
        <v>44160</v>
      </c>
      <c r="B8">
        <v>60.03</v>
      </c>
      <c r="C8">
        <v>60.07</v>
      </c>
      <c r="D8">
        <v>52.54</v>
      </c>
      <c r="E8" s="65">
        <v>239.33</v>
      </c>
      <c r="F8" s="66">
        <v>305.43</v>
      </c>
      <c r="G8" s="73">
        <v>240.27</v>
      </c>
      <c r="H8">
        <v>36.31</v>
      </c>
      <c r="I8">
        <v>35.409999999999997</v>
      </c>
      <c r="J8">
        <v>31.66</v>
      </c>
      <c r="K8" s="65">
        <v>30.53</v>
      </c>
      <c r="L8" s="66">
        <v>29.52</v>
      </c>
      <c r="M8" s="73">
        <v>26.47</v>
      </c>
      <c r="N8" s="36"/>
      <c r="O8" s="36">
        <v>25.699974312869255</v>
      </c>
      <c r="P8" s="36">
        <v>25.717099066700918</v>
      </c>
      <c r="Q8" s="36">
        <v>22.49336415789023</v>
      </c>
      <c r="R8" s="63">
        <v>183.54935194416751</v>
      </c>
      <c r="S8" s="64">
        <v>234.24342357542756</v>
      </c>
      <c r="T8" s="72">
        <v>184.2702661247028</v>
      </c>
      <c r="U8" s="36">
        <v>13.552553000895792</v>
      </c>
      <c r="V8" s="36">
        <v>13.216631830397134</v>
      </c>
      <c r="W8" s="36">
        <v>11.816960286652733</v>
      </c>
      <c r="X8" s="61">
        <v>27.601482686918001</v>
      </c>
      <c r="Y8" s="62">
        <v>26.688364524003251</v>
      </c>
      <c r="Z8" s="71">
        <v>23.930928487478525</v>
      </c>
      <c r="AA8" s="36"/>
      <c r="AB8">
        <v>2310.27</v>
      </c>
      <c r="AC8">
        <v>2774</v>
      </c>
      <c r="AD8">
        <v>2318.5</v>
      </c>
      <c r="AE8" s="65">
        <v>2409.9499999999998</v>
      </c>
      <c r="AF8" s="66">
        <v>2854.58</v>
      </c>
      <c r="AG8" s="66">
        <v>3914.34</v>
      </c>
      <c r="AH8" s="36"/>
      <c r="AI8" s="36">
        <v>4.6764705882352941E-3</v>
      </c>
      <c r="AJ8" s="36">
        <v>5.6151572810817377E-3</v>
      </c>
      <c r="AK8" s="36">
        <v>4.6931298328002913E-3</v>
      </c>
      <c r="AL8" s="63">
        <v>1.7581173671136986E-3</v>
      </c>
      <c r="AM8" s="64">
        <v>2.0824858083426717E-3</v>
      </c>
      <c r="AN8" s="64">
        <v>2.8556066037834127E-3</v>
      </c>
      <c r="AO8" s="36"/>
      <c r="AP8" s="3">
        <v>18.675750000000001</v>
      </c>
      <c r="AQ8" s="3">
        <v>18.7255851</v>
      </c>
      <c r="AR8" s="3">
        <v>19.352193499999998</v>
      </c>
      <c r="AS8" s="104">
        <v>7.0211412199999996</v>
      </c>
      <c r="AT8" s="105">
        <v>6.9447324799999999</v>
      </c>
      <c r="AU8" s="105">
        <v>11.775138</v>
      </c>
      <c r="AV8" s="10"/>
      <c r="AW8" s="5">
        <v>18.917842866666664</v>
      </c>
      <c r="AX8" s="5">
        <v>8.5803372333333332</v>
      </c>
      <c r="AY8" s="5">
        <v>27.498180099999999</v>
      </c>
    </row>
    <row r="9" spans="1:59" x14ac:dyDescent="0.2">
      <c r="A9" s="13">
        <v>44174</v>
      </c>
      <c r="B9">
        <v>120.27</v>
      </c>
      <c r="C9">
        <v>150.63</v>
      </c>
      <c r="D9">
        <v>180.9</v>
      </c>
      <c r="E9" s="65">
        <v>188.73</v>
      </c>
      <c r="F9" s="66">
        <v>262.98</v>
      </c>
      <c r="G9" s="73">
        <v>283.64999999999998</v>
      </c>
      <c r="H9">
        <v>81.67</v>
      </c>
      <c r="I9">
        <v>102.21</v>
      </c>
      <c r="J9">
        <v>118.43</v>
      </c>
      <c r="K9" s="65">
        <v>74.37</v>
      </c>
      <c r="L9" s="66">
        <v>92.75</v>
      </c>
      <c r="M9" s="73">
        <v>111.25</v>
      </c>
      <c r="N9" s="36"/>
      <c r="O9" s="36">
        <v>51.489853583354737</v>
      </c>
      <c r="P9" s="36">
        <v>64.487541741587464</v>
      </c>
      <c r="Q9" s="36">
        <v>77.446699203698955</v>
      </c>
      <c r="R9" s="63">
        <v>144.74269499194722</v>
      </c>
      <c r="S9" s="64">
        <v>201.68724595444436</v>
      </c>
      <c r="T9" s="72">
        <v>217.53968862642839</v>
      </c>
      <c r="U9" s="9">
        <v>30.482979994028071</v>
      </c>
      <c r="V9" s="9">
        <v>38.149447596297399</v>
      </c>
      <c r="W9" s="9">
        <v>44.203493580173195</v>
      </c>
      <c r="X9" s="77">
        <v>67.236235421752099</v>
      </c>
      <c r="Y9" s="78">
        <v>83.853177832022411</v>
      </c>
      <c r="Z9" s="84">
        <v>100.57860952897568</v>
      </c>
      <c r="AA9" s="36"/>
      <c r="AB9">
        <v>755.66</v>
      </c>
      <c r="AC9">
        <f>488.9+215.83</f>
        <v>704.73</v>
      </c>
      <c r="AD9">
        <v>1248.31</v>
      </c>
      <c r="AE9" s="61">
        <v>0</v>
      </c>
      <c r="AF9" s="62">
        <v>0</v>
      </c>
      <c r="AG9" s="62">
        <v>0</v>
      </c>
      <c r="AH9" s="36"/>
      <c r="AI9" s="36">
        <v>1.5296141856604994E-3</v>
      </c>
      <c r="AJ9" s="36">
        <v>1.4265211934739485E-3</v>
      </c>
      <c r="AK9" s="36">
        <v>2.5268410185822435E-3</v>
      </c>
      <c r="AL9" s="63">
        <v>0</v>
      </c>
      <c r="AM9" s="64">
        <v>0</v>
      </c>
      <c r="AN9" s="64">
        <v>0</v>
      </c>
      <c r="AO9" s="36"/>
      <c r="AP9" s="3">
        <v>5.2036230899999998</v>
      </c>
      <c r="AQ9" s="3">
        <v>3.6749206600000002</v>
      </c>
      <c r="AR9" s="3">
        <v>5.7458437099999999</v>
      </c>
      <c r="AS9" s="104">
        <v>0</v>
      </c>
      <c r="AT9" s="105">
        <v>0</v>
      </c>
      <c r="AU9" s="105">
        <v>0</v>
      </c>
      <c r="AV9" s="10"/>
      <c r="AW9" s="5">
        <v>4.8747958200000001</v>
      </c>
      <c r="AX9" s="5">
        <v>0</v>
      </c>
      <c r="AY9" s="5">
        <v>4.8747958200000001</v>
      </c>
    </row>
    <row r="10" spans="1:59" x14ac:dyDescent="0.2">
      <c r="A10" s="13">
        <v>44217</v>
      </c>
      <c r="B10">
        <v>32.04</v>
      </c>
      <c r="C10">
        <v>27.75</v>
      </c>
      <c r="D10">
        <v>27.75</v>
      </c>
      <c r="E10" s="65">
        <v>157.25</v>
      </c>
      <c r="F10" s="66">
        <v>158</v>
      </c>
      <c r="G10" s="71">
        <v>158</v>
      </c>
      <c r="H10">
        <v>18.149999999999999</v>
      </c>
      <c r="I10">
        <v>15.73</v>
      </c>
      <c r="J10" s="9">
        <v>15.73</v>
      </c>
      <c r="K10" s="65">
        <v>16.78</v>
      </c>
      <c r="L10" s="66">
        <v>13.96</v>
      </c>
      <c r="M10" s="71">
        <v>13.96</v>
      </c>
      <c r="N10" s="36"/>
      <c r="O10" s="36">
        <v>13.716927819162599</v>
      </c>
      <c r="P10" s="36">
        <v>11.880297970716672</v>
      </c>
      <c r="Q10" s="36">
        <v>11.880297970716672</v>
      </c>
      <c r="R10" s="61">
        <v>120.59973924380704</v>
      </c>
      <c r="S10" s="62">
        <v>121.17493672827671</v>
      </c>
      <c r="T10" s="71">
        <v>121.17493672827671</v>
      </c>
      <c r="U10" s="37">
        <v>6.7744102717229024</v>
      </c>
      <c r="V10" s="37">
        <v>5.8711555688265156</v>
      </c>
      <c r="W10" s="37">
        <v>5.8711555688265156</v>
      </c>
      <c r="X10" s="77">
        <v>15.170418587831119</v>
      </c>
      <c r="Y10" s="78">
        <v>12.620920350782027</v>
      </c>
      <c r="Z10" s="84">
        <v>12.620920350782027</v>
      </c>
      <c r="AA10" s="36"/>
      <c r="AB10">
        <v>1088.6199999999999</v>
      </c>
      <c r="AC10">
        <f>177.32+118.12+117.45</f>
        <v>412.89</v>
      </c>
      <c r="AD10">
        <f>177.32+118.12+117.45</f>
        <v>412.89</v>
      </c>
      <c r="AE10" s="65">
        <v>587.39</v>
      </c>
      <c r="AF10" s="66">
        <f>206.31+167.92+107.62+230.31</f>
        <v>712.16000000000008</v>
      </c>
      <c r="AG10" s="66">
        <f>206.31+167.92+107.62+230.31</f>
        <v>712.16000000000008</v>
      </c>
      <c r="AH10" s="36"/>
      <c r="AI10" s="36">
        <v>2.2035949961540014E-3</v>
      </c>
      <c r="AJ10" s="36">
        <v>1.1890004453261002E-3</v>
      </c>
      <c r="AK10" s="36">
        <v>1.1890004453261002E-3</v>
      </c>
      <c r="AL10" s="63">
        <v>3.0121333625493269E-4</v>
      </c>
      <c r="AM10" s="64">
        <v>5.1953810832743085E-4</v>
      </c>
      <c r="AN10" s="64">
        <v>5.1953810832743085E-4</v>
      </c>
      <c r="AO10" s="36"/>
      <c r="AP10" s="3">
        <v>10</v>
      </c>
      <c r="AQ10" s="3">
        <v>14.101970400000001</v>
      </c>
      <c r="AR10" s="3">
        <v>7.84573768</v>
      </c>
      <c r="AS10" s="104">
        <v>3</v>
      </c>
      <c r="AT10" s="105">
        <v>1.92762353</v>
      </c>
      <c r="AU10" s="105">
        <v>3.4282238700000001</v>
      </c>
      <c r="AV10" s="10"/>
      <c r="AW10" s="5">
        <v>10.649236026666665</v>
      </c>
      <c r="AX10" s="5">
        <v>2.7852824666666667</v>
      </c>
      <c r="AY10" s="5">
        <v>13.434518493333332</v>
      </c>
    </row>
    <row r="11" spans="1:59" x14ac:dyDescent="0.2">
      <c r="A11" s="13">
        <v>44258</v>
      </c>
      <c r="B11">
        <v>20.29</v>
      </c>
      <c r="C11">
        <v>29.6</v>
      </c>
      <c r="D11">
        <v>38.270000000000003</v>
      </c>
      <c r="E11" s="65">
        <v>157.69</v>
      </c>
      <c r="F11" s="66">
        <v>207.96</v>
      </c>
      <c r="G11" s="73">
        <v>200.51</v>
      </c>
      <c r="H11">
        <v>11.38</v>
      </c>
      <c r="I11">
        <v>17.809999999999999</v>
      </c>
      <c r="J11">
        <v>23.25</v>
      </c>
      <c r="K11" s="65">
        <v>10.81</v>
      </c>
      <c r="L11" s="66">
        <v>14.9</v>
      </c>
      <c r="M11" s="73">
        <v>21.35</v>
      </c>
      <c r="N11" s="36"/>
      <c r="O11" s="9">
        <v>8.6865313811113971</v>
      </c>
      <c r="P11" s="9">
        <v>12.672317835431118</v>
      </c>
      <c r="Q11" s="9">
        <v>16.384108228444219</v>
      </c>
      <c r="R11" s="77">
        <v>120.93718843469591</v>
      </c>
      <c r="S11" s="78">
        <v>159.49075849374952</v>
      </c>
      <c r="T11" s="84">
        <v>153.77713014801748</v>
      </c>
      <c r="U11" s="37">
        <v>4.2475365780830101</v>
      </c>
      <c r="V11" s="37">
        <v>6.6475067184234096</v>
      </c>
      <c r="W11" s="37">
        <v>8.6779635712152885</v>
      </c>
      <c r="X11" s="77">
        <v>9.7730765753548496</v>
      </c>
      <c r="Y11" s="78">
        <v>13.470753096465057</v>
      </c>
      <c r="Z11" s="84">
        <v>19.302052255673086</v>
      </c>
      <c r="AA11" s="36"/>
      <c r="AB11">
        <v>806.7</v>
      </c>
      <c r="AC11">
        <v>1560.02</v>
      </c>
      <c r="AD11">
        <v>1128</v>
      </c>
      <c r="AE11" s="65">
        <v>125</v>
      </c>
      <c r="AF11" s="66">
        <v>481.79</v>
      </c>
      <c r="AG11" s="66">
        <f>191+114.28+123.75</f>
        <v>429.03</v>
      </c>
      <c r="AH11" s="36"/>
      <c r="AI11" s="36">
        <v>1.6329298408971297E-3</v>
      </c>
      <c r="AJ11" s="36">
        <v>3.1578073762195862E-3</v>
      </c>
      <c r="AK11" s="36">
        <v>2.2833083680822638E-3</v>
      </c>
      <c r="AL11" s="63">
        <v>9.1190552040171929E-5</v>
      </c>
      <c r="AM11" s="64">
        <v>3.5147756853947548E-4</v>
      </c>
      <c r="AN11" s="64">
        <v>3.1298786033435967E-4</v>
      </c>
      <c r="AO11" s="36"/>
      <c r="AP11" s="3">
        <v>11.3678682</v>
      </c>
      <c r="AQ11" s="3">
        <v>16.422849100000001</v>
      </c>
      <c r="AR11" s="3">
        <v>11.5236394</v>
      </c>
      <c r="AS11" s="104">
        <v>0.63483571000000005</v>
      </c>
      <c r="AT11" s="105">
        <v>1.82793388</v>
      </c>
      <c r="AU11" s="105">
        <v>1.57961986</v>
      </c>
      <c r="AV11" s="10"/>
      <c r="AW11" s="5">
        <v>13.104785566666669</v>
      </c>
      <c r="AX11" s="5">
        <v>1.3474631500000001</v>
      </c>
      <c r="AY11" s="5">
        <v>14.452248716666668</v>
      </c>
    </row>
    <row r="12" spans="1:59" x14ac:dyDescent="0.2">
      <c r="A12" s="13">
        <v>44267</v>
      </c>
      <c r="B12">
        <v>23.8</v>
      </c>
      <c r="C12">
        <v>31.02</v>
      </c>
      <c r="D12">
        <v>39.700000000000003</v>
      </c>
      <c r="E12" s="65">
        <v>209.74</v>
      </c>
      <c r="F12" s="66">
        <v>201.48</v>
      </c>
      <c r="G12" s="73">
        <v>253.75</v>
      </c>
      <c r="H12">
        <v>13.92</v>
      </c>
      <c r="I12">
        <v>16.28</v>
      </c>
      <c r="J12">
        <v>23.4</v>
      </c>
      <c r="K12" s="65">
        <v>15.14</v>
      </c>
      <c r="L12" s="66">
        <v>14.76</v>
      </c>
      <c r="M12" s="73">
        <v>21.64</v>
      </c>
      <c r="N12" s="36"/>
      <c r="O12" s="37">
        <v>10.189228529839884</v>
      </c>
      <c r="P12" s="37">
        <v>13.280246596455177</v>
      </c>
      <c r="Q12" s="37">
        <v>16.996318177926195</v>
      </c>
      <c r="R12" s="77">
        <v>160.85589385689087</v>
      </c>
      <c r="S12" s="78">
        <v>154.52105222793156</v>
      </c>
      <c r="T12" s="84">
        <v>194.60848224557097</v>
      </c>
      <c r="U12" s="37">
        <v>5.1955807703792178</v>
      </c>
      <c r="V12" s="37">
        <v>6.0764407285756947</v>
      </c>
      <c r="W12" s="37">
        <v>8.7339504329650648</v>
      </c>
      <c r="X12" s="63">
        <v>13.687731669830937</v>
      </c>
      <c r="Y12" s="64">
        <v>13.344182262001626</v>
      </c>
      <c r="Z12" s="72">
        <v>19.564234698490189</v>
      </c>
      <c r="AA12" s="36"/>
      <c r="AB12">
        <f>121+303.94</f>
        <v>424.94</v>
      </c>
      <c r="AC12">
        <v>368.39</v>
      </c>
      <c r="AD12">
        <v>1163.75</v>
      </c>
      <c r="AE12" s="65">
        <v>3038.19</v>
      </c>
      <c r="AF12" s="66">
        <v>2452.52</v>
      </c>
      <c r="AG12" s="66">
        <v>2380.66</v>
      </c>
      <c r="AH12" s="36"/>
      <c r="AI12" s="36">
        <v>8.6016760455042307E-4</v>
      </c>
      <c r="AJ12" s="36">
        <v>7.4569855471438395E-4</v>
      </c>
      <c r="AK12" s="36">
        <v>2.3556738593579207E-3</v>
      </c>
      <c r="AL12" s="63">
        <v>2.2164337864234397E-3</v>
      </c>
      <c r="AM12" s="64">
        <v>1.7891732215164996E-3</v>
      </c>
      <c r="AN12" s="64">
        <v>1.7367495969596457E-3</v>
      </c>
      <c r="AO12" s="36"/>
      <c r="AP12" s="3">
        <v>4.5289037700000003</v>
      </c>
      <c r="AQ12" s="3">
        <v>3.98296603</v>
      </c>
      <c r="AR12" s="3">
        <v>9.8192769599999998</v>
      </c>
      <c r="AS12" s="104">
        <v>11.669836500000001</v>
      </c>
      <c r="AT12" s="105">
        <v>9.5564301700000005</v>
      </c>
      <c r="AU12" s="105">
        <v>7.2393830100000001</v>
      </c>
      <c r="AV12" s="10"/>
      <c r="AW12" s="5">
        <v>6.1103822533333334</v>
      </c>
      <c r="AX12" s="5">
        <v>9.4885498933333334</v>
      </c>
      <c r="AY12" s="5">
        <v>15.598932146666666</v>
      </c>
    </row>
    <row r="13" spans="1:59" x14ac:dyDescent="0.2">
      <c r="A13" s="13">
        <v>44271</v>
      </c>
      <c r="B13">
        <v>384.25</v>
      </c>
      <c r="C13">
        <v>66.63</v>
      </c>
      <c r="D13">
        <v>205.56</v>
      </c>
      <c r="E13" s="65">
        <v>235.51</v>
      </c>
      <c r="F13" s="66">
        <v>172.92</v>
      </c>
      <c r="G13" s="73">
        <v>142.91</v>
      </c>
      <c r="H13">
        <v>237.16</v>
      </c>
      <c r="I13">
        <v>44</v>
      </c>
      <c r="J13">
        <v>141.91999999999999</v>
      </c>
      <c r="K13" s="65">
        <v>222.62</v>
      </c>
      <c r="L13" s="66">
        <v>35.35</v>
      </c>
      <c r="M13" s="73">
        <v>131.26</v>
      </c>
      <c r="N13" s="36"/>
      <c r="O13" s="37">
        <v>164.50466649541914</v>
      </c>
      <c r="P13" s="37">
        <v>28.525558695093757</v>
      </c>
      <c r="Q13" s="37">
        <v>88.004109940919605</v>
      </c>
      <c r="R13" s="77">
        <v>180.61967942326865</v>
      </c>
      <c r="S13" s="78">
        <v>132.61753201932663</v>
      </c>
      <c r="T13" s="84">
        <v>109.60196334074698</v>
      </c>
      <c r="U13" s="36">
        <v>88.518960883845935</v>
      </c>
      <c r="V13" s="36">
        <v>16.422812779934311</v>
      </c>
      <c r="W13" s="36">
        <v>52.971036130188118</v>
      </c>
      <c r="X13" s="63">
        <v>201.26570834463428</v>
      </c>
      <c r="Y13" s="64">
        <v>31.959135702016091</v>
      </c>
      <c r="Z13" s="72">
        <v>118.66919808335592</v>
      </c>
      <c r="AA13" s="36"/>
      <c r="AB13">
        <v>4754.46</v>
      </c>
      <c r="AC13">
        <v>1741.31</v>
      </c>
      <c r="AD13">
        <v>1725.78</v>
      </c>
      <c r="AE13" s="65">
        <f>129.05+694.26+673.24+254.45</f>
        <v>1751</v>
      </c>
      <c r="AF13" s="66">
        <v>2419.29</v>
      </c>
      <c r="AG13" s="66">
        <f>588.67+315.47</f>
        <v>904.14</v>
      </c>
      <c r="AH13" s="36"/>
      <c r="AI13" s="36">
        <v>9.6240233188939726E-3</v>
      </c>
      <c r="AJ13" s="36">
        <v>3.524776324845148E-3</v>
      </c>
      <c r="AK13" s="36">
        <v>3.4933403505930933E-3</v>
      </c>
      <c r="AL13" s="63">
        <v>1.2773972529787285E-3</v>
      </c>
      <c r="AM13" s="64">
        <v>1.7649311251621404E-3</v>
      </c>
      <c r="AN13" s="64">
        <v>6.5959220577280838E-4</v>
      </c>
      <c r="AO13" s="36"/>
      <c r="AP13" s="3">
        <v>15.158114100000001</v>
      </c>
      <c r="AQ13" s="3">
        <v>16.822697399999999</v>
      </c>
      <c r="AR13" s="3">
        <v>9.4607319800000003</v>
      </c>
      <c r="AS13" s="104">
        <v>2.0119374900000002</v>
      </c>
      <c r="AT13" s="105">
        <v>8.4234854800000001</v>
      </c>
      <c r="AU13" s="105">
        <v>1.78632038</v>
      </c>
      <c r="AV13" s="10"/>
      <c r="AW13" s="5">
        <v>13.813847826666667</v>
      </c>
      <c r="AX13" s="5">
        <v>4.0739144500000002</v>
      </c>
      <c r="AY13" s="5">
        <v>17.887762276666667</v>
      </c>
    </row>
    <row r="14" spans="1:59" x14ac:dyDescent="0.2">
      <c r="A14" s="2" t="s">
        <v>35</v>
      </c>
      <c r="B14">
        <v>65.599999999999994</v>
      </c>
      <c r="C14">
        <v>69.48</v>
      </c>
      <c r="D14">
        <v>57.64</v>
      </c>
      <c r="E14" s="65">
        <v>227.49</v>
      </c>
      <c r="F14" s="66">
        <v>213.15</v>
      </c>
      <c r="G14" s="73">
        <v>160.41999999999999</v>
      </c>
      <c r="H14">
        <v>27.85</v>
      </c>
      <c r="I14">
        <v>27.54</v>
      </c>
      <c r="J14">
        <v>21.38</v>
      </c>
      <c r="K14" s="65">
        <v>38.61</v>
      </c>
      <c r="L14" s="66">
        <v>39.630000000000003</v>
      </c>
      <c r="M14" s="73">
        <v>34.67</v>
      </c>
      <c r="N14" s="36"/>
      <c r="O14" s="37">
        <v>28.084596283928416</v>
      </c>
      <c r="P14" s="37">
        <v>29.745697405599799</v>
      </c>
      <c r="Q14" s="37">
        <v>24.676770271427351</v>
      </c>
      <c r="R14" s="63">
        <v>174.46890098933966</v>
      </c>
      <c r="S14" s="64">
        <v>163.47112508627961</v>
      </c>
      <c r="T14" s="72">
        <v>123.03090727816549</v>
      </c>
      <c r="U14" s="36">
        <v>10.394893998208422</v>
      </c>
      <c r="V14" s="36">
        <v>10.279187817258883</v>
      </c>
      <c r="W14" s="36">
        <v>7.9799940280680799</v>
      </c>
      <c r="X14" s="65">
        <v>34.906427990235962</v>
      </c>
      <c r="Y14" s="66">
        <v>35.828586927040952</v>
      </c>
      <c r="Z14" s="73">
        <v>31.344363077479432</v>
      </c>
      <c r="AA14" s="36"/>
      <c r="AB14">
        <v>1416.43</v>
      </c>
      <c r="AC14">
        <v>1960.55</v>
      </c>
      <c r="AD14">
        <v>1398.39</v>
      </c>
      <c r="AE14" s="65">
        <v>1112.6300000000001</v>
      </c>
      <c r="AF14" s="66">
        <f>538.51+310.13+364.26+184.38+415.81</f>
        <v>1813.0900000000001</v>
      </c>
      <c r="AG14" s="66">
        <v>2147.75</v>
      </c>
      <c r="AH14" s="36"/>
      <c r="AI14" s="36">
        <v>2.8671511274847173E-3</v>
      </c>
      <c r="AJ14" s="36">
        <v>3.9685640257479454E-3</v>
      </c>
      <c r="AK14" s="36">
        <v>2.8306343872717705E-3</v>
      </c>
      <c r="AL14" s="63">
        <v>8.1169075133165206E-4</v>
      </c>
      <c r="AM14" s="62">
        <v>1.3226934239881226E-3</v>
      </c>
      <c r="AN14" s="62">
        <v>1.5668360651542341E-3</v>
      </c>
      <c r="AO14" s="9"/>
      <c r="AP14" s="3">
        <v>11.5678652</v>
      </c>
      <c r="AQ14" s="3">
        <v>16.582349099999998</v>
      </c>
      <c r="AR14" s="3">
        <v>15.1344896</v>
      </c>
      <c r="AS14" s="104">
        <v>3.2748637</v>
      </c>
      <c r="AT14" s="105">
        <v>5.5267759300000003</v>
      </c>
      <c r="AU14" s="105">
        <v>8.37736737</v>
      </c>
      <c r="AV14" s="10"/>
      <c r="AW14" s="5">
        <v>14.428234633333332</v>
      </c>
      <c r="AX14" s="5">
        <v>5.7263356666666665</v>
      </c>
      <c r="AY14" s="5">
        <v>20.1545703</v>
      </c>
    </row>
    <row r="15" spans="1:59" x14ac:dyDescent="0.2">
      <c r="A15" s="2" t="s">
        <v>66</v>
      </c>
      <c r="B15">
        <v>3193.9</v>
      </c>
      <c r="C15">
        <v>5248.54</v>
      </c>
      <c r="D15">
        <v>3190.4</v>
      </c>
      <c r="E15" s="65">
        <v>1260.8599999999999</v>
      </c>
      <c r="F15" s="66">
        <v>2069.17</v>
      </c>
      <c r="G15" s="73">
        <v>1278.21</v>
      </c>
      <c r="H15">
        <v>2033.36</v>
      </c>
      <c r="I15">
        <v>3349.46</v>
      </c>
      <c r="J15">
        <v>2055.2199999999998</v>
      </c>
      <c r="K15" s="65">
        <v>1756.03</v>
      </c>
      <c r="L15" s="66">
        <v>2924.64</v>
      </c>
      <c r="M15" s="73">
        <v>1757.2</v>
      </c>
      <c r="N15" s="36"/>
      <c r="O15" s="36">
        <v>1367.3687815737651</v>
      </c>
      <c r="P15" s="36">
        <v>2246.9988868910009</v>
      </c>
      <c r="Q15" s="36">
        <v>1365.8703656134944</v>
      </c>
      <c r="R15" s="63">
        <v>966.99133369123388</v>
      </c>
      <c r="S15" s="64">
        <v>1586.9085052534704</v>
      </c>
      <c r="T15" s="72">
        <v>980.29756883196558</v>
      </c>
      <c r="U15">
        <v>758.94296805016427</v>
      </c>
      <c r="V15">
        <v>1250.1716930426994</v>
      </c>
      <c r="W15">
        <v>767.1021200358316</v>
      </c>
      <c r="X15" s="65">
        <v>1587.5870174486934</v>
      </c>
      <c r="Y15" s="66">
        <v>2644.1008950366149</v>
      </c>
      <c r="Z15" s="73">
        <v>1588.6447879938521</v>
      </c>
      <c r="AA15" s="36"/>
      <c r="AB15" s="21">
        <v>47208.4</v>
      </c>
      <c r="AC15">
        <v>67568.75</v>
      </c>
      <c r="AD15">
        <v>47379.33</v>
      </c>
      <c r="AE15" s="65">
        <v>8209.11</v>
      </c>
      <c r="AF15" s="99">
        <v>12420.55</v>
      </c>
      <c r="AG15" s="66">
        <v>8646.89</v>
      </c>
      <c r="AH15" s="36"/>
      <c r="AI15" s="36">
        <v>0.28190683203850447</v>
      </c>
      <c r="AJ15" s="9">
        <v>0.40348946918984124</v>
      </c>
      <c r="AK15" s="9">
        <v>0.2829275473095228</v>
      </c>
      <c r="AL15" s="63">
        <v>3.4438628304615637E-2</v>
      </c>
      <c r="AM15" s="62">
        <v>5.2106343414681212E-2</v>
      </c>
      <c r="AN15" s="62">
        <v>3.6275190696786599E-2</v>
      </c>
      <c r="AO15" s="9"/>
      <c r="AP15" s="3">
        <v>60.225048200000003</v>
      </c>
      <c r="AQ15" s="3">
        <v>52.210154299999999</v>
      </c>
      <c r="AR15" s="3">
        <v>60.172835300000003</v>
      </c>
      <c r="AS15" s="104">
        <v>7.3572819620000001</v>
      </c>
      <c r="AT15" s="105">
        <v>6.7423822360000001</v>
      </c>
      <c r="AU15" s="105">
        <v>7.714982494</v>
      </c>
      <c r="AV15" s="10"/>
      <c r="AW15" s="5">
        <v>57.536012599999999</v>
      </c>
      <c r="AX15" s="5">
        <v>7.2715488973333331</v>
      </c>
      <c r="AY15" s="5">
        <v>64.807561497333339</v>
      </c>
    </row>
    <row r="16" spans="1:59" x14ac:dyDescent="0.2">
      <c r="A16" s="2" t="s">
        <v>67</v>
      </c>
      <c r="B16">
        <v>2020.09</v>
      </c>
      <c r="C16">
        <v>2312.48</v>
      </c>
      <c r="D16">
        <v>2757.99</v>
      </c>
      <c r="E16" s="65">
        <v>876</v>
      </c>
      <c r="F16" s="66">
        <v>995.76</v>
      </c>
      <c r="G16" s="73">
        <v>1136.82</v>
      </c>
      <c r="H16">
        <v>1374.76</v>
      </c>
      <c r="I16">
        <v>1582.46</v>
      </c>
      <c r="J16">
        <v>1823.97</v>
      </c>
      <c r="K16" s="65">
        <v>1168.8</v>
      </c>
      <c r="L16" s="66">
        <v>1350.97</v>
      </c>
      <c r="M16" s="73">
        <v>1557.55</v>
      </c>
      <c r="N16" s="36"/>
      <c r="O16" s="36">
        <v>864.83859919513657</v>
      </c>
      <c r="P16" s="36">
        <v>990.01626851614014</v>
      </c>
      <c r="Q16" s="36">
        <v>1180.7474955047521</v>
      </c>
      <c r="R16" s="65">
        <v>671.83066186057215</v>
      </c>
      <c r="S16" s="66">
        <v>763.6781961806887</v>
      </c>
      <c r="T16" s="73">
        <v>871.86133905974373</v>
      </c>
      <c r="U16">
        <v>513.12332039414753</v>
      </c>
      <c r="V16">
        <v>590.64646163033751</v>
      </c>
      <c r="W16">
        <v>680.7890415049269</v>
      </c>
      <c r="X16" s="63">
        <v>1056.685652291836</v>
      </c>
      <c r="Y16" s="64">
        <v>1221.3814302504293</v>
      </c>
      <c r="Z16" s="72">
        <v>1408.1457372751106</v>
      </c>
      <c r="AA16" s="36"/>
      <c r="AB16" s="21">
        <v>15766.67</v>
      </c>
      <c r="AC16">
        <f>5258.88+6147.01</f>
        <v>11405.89</v>
      </c>
      <c r="AD16">
        <v>28286.7</v>
      </c>
      <c r="AE16" s="65">
        <v>3105.32</v>
      </c>
      <c r="AF16" s="99">
        <v>3726.33</v>
      </c>
      <c r="AG16" s="66">
        <v>5273.69</v>
      </c>
      <c r="AH16" s="36"/>
      <c r="AI16" s="36">
        <v>9.4151294928371376E-2</v>
      </c>
      <c r="AJ16" s="9">
        <v>6.8110724288043184E-2</v>
      </c>
      <c r="AK16" s="9">
        <v>0.16891515039322588</v>
      </c>
      <c r="AL16" s="63">
        <v>1.3027351472557808E-2</v>
      </c>
      <c r="AM16" s="62">
        <v>1.5632595227782108E-2</v>
      </c>
      <c r="AN16" s="62">
        <v>2.2124036552533515E-2</v>
      </c>
      <c r="AO16" s="9"/>
      <c r="AP16" s="3">
        <v>30.308049100000002</v>
      </c>
      <c r="AQ16" s="3">
        <v>19.1015221</v>
      </c>
      <c r="AR16" s="3">
        <v>40.785553899999996</v>
      </c>
      <c r="AS16" s="104">
        <v>4.1936078390000002</v>
      </c>
      <c r="AT16" s="105">
        <v>4.3841313670000002</v>
      </c>
      <c r="AU16" s="105">
        <v>5.341978407</v>
      </c>
      <c r="AV16" s="10"/>
      <c r="AW16" s="5">
        <v>30.065041699999998</v>
      </c>
      <c r="AX16" s="5">
        <v>4.6399058709999998</v>
      </c>
      <c r="AY16" s="5">
        <v>34.704947570999998</v>
      </c>
    </row>
    <row r="17" spans="1:51" x14ac:dyDescent="0.2">
      <c r="A17" s="2" t="s">
        <v>68</v>
      </c>
      <c r="B17">
        <v>1885.29</v>
      </c>
      <c r="C17">
        <v>3064.99</v>
      </c>
      <c r="D17">
        <v>2755.6</v>
      </c>
      <c r="E17" s="65">
        <v>790.63</v>
      </c>
      <c r="F17" s="66">
        <v>1262.58</v>
      </c>
      <c r="G17" s="73">
        <v>1152.1600000000001</v>
      </c>
      <c r="H17">
        <v>1249.25</v>
      </c>
      <c r="I17">
        <v>2006.2</v>
      </c>
      <c r="J17">
        <v>1829.14</v>
      </c>
      <c r="K17" s="65">
        <v>1083.24</v>
      </c>
      <c r="L17" s="66">
        <v>1699.48</v>
      </c>
      <c r="M17" s="73">
        <v>1573.24</v>
      </c>
      <c r="N17" s="36"/>
      <c r="O17">
        <v>807.12817878243004</v>
      </c>
      <c r="P17">
        <v>1312.1799811627707</v>
      </c>
      <c r="Q17">
        <v>1179.7242914633102</v>
      </c>
      <c r="R17" s="65">
        <v>606.35784952833808</v>
      </c>
      <c r="S17" s="66">
        <v>968.31045325561763</v>
      </c>
      <c r="T17" s="73">
        <v>883.62604494209677</v>
      </c>
      <c r="U17" s="36">
        <v>466.27724693938495</v>
      </c>
      <c r="V17" s="36">
        <v>748.80561361600485</v>
      </c>
      <c r="W17" s="36">
        <v>682.71872200656924</v>
      </c>
      <c r="X17" s="63">
        <v>979.33279088689983</v>
      </c>
      <c r="Y17" s="64">
        <v>1536.4614410993579</v>
      </c>
      <c r="Z17" s="72">
        <v>1422.3307115089051</v>
      </c>
      <c r="AA17" s="36"/>
      <c r="AB17" s="21">
        <v>11361.81</v>
      </c>
      <c r="AC17">
        <v>22132.34</v>
      </c>
      <c r="AD17">
        <v>18319.37</v>
      </c>
      <c r="AE17" s="65">
        <v>4301.05</v>
      </c>
      <c r="AF17" s="99">
        <v>4448.96</v>
      </c>
      <c r="AG17" s="66">
        <v>6265.57</v>
      </c>
      <c r="AH17" s="36"/>
      <c r="AI17" s="36">
        <v>6.7847498820620925E-2</v>
      </c>
      <c r="AJ17" s="9">
        <v>0.13216414568168111</v>
      </c>
      <c r="AK17" s="9">
        <v>0.10939484417267303</v>
      </c>
      <c r="AL17" s="63">
        <v>1.8043644471759678E-2</v>
      </c>
      <c r="AM17" s="64">
        <v>1.86641523602562E-2</v>
      </c>
      <c r="AN17" s="64">
        <v>2.6285143742324144E-2</v>
      </c>
      <c r="AO17" s="36"/>
      <c r="AP17" s="3">
        <v>23.7304019</v>
      </c>
      <c r="AQ17" s="3">
        <v>28.946816800000001</v>
      </c>
      <c r="AR17" s="3">
        <v>26.243846600000001</v>
      </c>
      <c r="AS17" s="104">
        <v>6.3109612459999997</v>
      </c>
      <c r="AT17" s="105">
        <v>4.087854514</v>
      </c>
      <c r="AU17" s="105">
        <v>6.3058116289999999</v>
      </c>
      <c r="AV17" s="10"/>
      <c r="AW17" s="5">
        <v>26.307021766666665</v>
      </c>
      <c r="AX17" s="5">
        <v>5.5682091296666663</v>
      </c>
      <c r="AY17" s="5">
        <v>31.875230896333331</v>
      </c>
    </row>
    <row r="18" spans="1:51" x14ac:dyDescent="0.2">
      <c r="A18" s="2" t="s">
        <v>41</v>
      </c>
      <c r="B18">
        <v>2302.62</v>
      </c>
      <c r="C18">
        <v>2939.06</v>
      </c>
      <c r="D18">
        <v>4778.66</v>
      </c>
      <c r="E18" s="65">
        <v>1041.47</v>
      </c>
      <c r="F18" s="66">
        <v>1342.45</v>
      </c>
      <c r="G18" s="73">
        <v>1951.98</v>
      </c>
      <c r="H18">
        <v>1637.71</v>
      </c>
      <c r="I18">
        <v>2119.79</v>
      </c>
      <c r="J18">
        <v>3123.49</v>
      </c>
      <c r="K18" s="65">
        <v>1363.21</v>
      </c>
      <c r="L18" s="66">
        <v>1727.74</v>
      </c>
      <c r="M18" s="73">
        <v>2730.38</v>
      </c>
      <c r="N18" s="36"/>
      <c r="O18">
        <v>985.795016696635</v>
      </c>
      <c r="P18">
        <v>1258.2669749122356</v>
      </c>
      <c r="Q18">
        <v>2045.8344036304479</v>
      </c>
      <c r="R18" s="63">
        <v>798.73456553416668</v>
      </c>
      <c r="S18" s="64">
        <v>1029.565150701741</v>
      </c>
      <c r="T18" s="72">
        <v>1497.0319809801365</v>
      </c>
      <c r="U18" s="36">
        <v>611.268289041505</v>
      </c>
      <c r="V18" s="36">
        <v>791.2025977903852</v>
      </c>
      <c r="W18" s="36">
        <v>1165.8293520453867</v>
      </c>
      <c r="X18" s="63">
        <v>1232.4473374920892</v>
      </c>
      <c r="Y18" s="64">
        <v>1562.0106681131904</v>
      </c>
      <c r="Z18" s="72">
        <v>2468.4748214447154</v>
      </c>
      <c r="AA18" s="36"/>
      <c r="AB18" s="21">
        <v>9319.24</v>
      </c>
      <c r="AC18">
        <v>7136.44</v>
      </c>
      <c r="AD18">
        <v>21882.53</v>
      </c>
      <c r="AE18" s="65">
        <f>1836.39+371.81+133.76</f>
        <v>2341.96</v>
      </c>
      <c r="AF18" s="99">
        <v>897.91</v>
      </c>
      <c r="AG18" s="66">
        <f>837.11+200.65+3326.5</f>
        <v>4364.26</v>
      </c>
      <c r="AH18" s="36"/>
      <c r="AI18" s="36">
        <v>5.5650211093926344E-2</v>
      </c>
      <c r="AJ18" s="36">
        <v>4.261553436322487E-2</v>
      </c>
      <c r="AK18" s="36">
        <v>0.13067239536369663</v>
      </c>
      <c r="AL18" s="63">
        <v>9.8249249850809201E-3</v>
      </c>
      <c r="AM18" s="64">
        <v>3.7668868782361818E-3</v>
      </c>
      <c r="AN18" s="64">
        <v>1.8308821293014935E-2</v>
      </c>
      <c r="AO18" s="36"/>
      <c r="AP18" s="3">
        <v>15.3380513</v>
      </c>
      <c r="AQ18" s="3">
        <v>9.1823136299999994</v>
      </c>
      <c r="AR18" s="3">
        <v>18.206672699999999</v>
      </c>
      <c r="AS18" s="104">
        <v>2.707899941</v>
      </c>
      <c r="AT18" s="105">
        <v>0.81164620499999995</v>
      </c>
      <c r="AU18" s="105">
        <v>2.5509803820000001</v>
      </c>
      <c r="AV18" s="10"/>
      <c r="AW18" s="5">
        <v>14.242345876666667</v>
      </c>
      <c r="AX18" s="5">
        <v>2.0235088426666668</v>
      </c>
      <c r="AY18" s="5">
        <v>16.265854719333333</v>
      </c>
    </row>
    <row r="19" spans="1:51" x14ac:dyDescent="0.2">
      <c r="A19" s="2" t="s">
        <v>42</v>
      </c>
      <c r="B19">
        <v>2026.4</v>
      </c>
      <c r="C19">
        <v>3143.17</v>
      </c>
      <c r="D19">
        <v>2007.93</v>
      </c>
      <c r="E19" s="65">
        <v>872.86</v>
      </c>
      <c r="F19" s="66">
        <v>1360.66</v>
      </c>
      <c r="G19" s="73">
        <v>874.41</v>
      </c>
      <c r="H19">
        <v>1390.13</v>
      </c>
      <c r="I19">
        <v>2181.44</v>
      </c>
      <c r="J19">
        <v>1391.63</v>
      </c>
      <c r="K19" s="65">
        <v>1200.19</v>
      </c>
      <c r="L19" s="66">
        <v>1881.79</v>
      </c>
      <c r="M19" s="73">
        <v>1191.5899999999999</v>
      </c>
      <c r="N19" s="36"/>
      <c r="O19" s="36">
        <v>867.54002911208158</v>
      </c>
      <c r="P19" s="36">
        <v>1345.6503125267575</v>
      </c>
      <c r="Q19" s="36">
        <v>859.63267403031091</v>
      </c>
      <c r="R19" s="63">
        <v>669.42250172559238</v>
      </c>
      <c r="S19" s="64">
        <v>1043.5309456246646</v>
      </c>
      <c r="T19" s="72">
        <v>670.61124319349642</v>
      </c>
      <c r="U19" s="36">
        <v>518.86010749477464</v>
      </c>
      <c r="V19" s="36">
        <v>814.21319796954322</v>
      </c>
      <c r="W19" s="36">
        <v>519.41997611227237</v>
      </c>
      <c r="X19" s="63">
        <v>1085.0646415333151</v>
      </c>
      <c r="Y19" s="64">
        <v>1701.2837898924147</v>
      </c>
      <c r="Z19" s="72">
        <v>1077.2895759877044</v>
      </c>
      <c r="AA19" s="36"/>
      <c r="AB19" s="21">
        <v>6051.29</v>
      </c>
      <c r="AC19">
        <f>4186.54+2608.22</f>
        <v>6794.76</v>
      </c>
      <c r="AD19">
        <v>4710.37</v>
      </c>
      <c r="AE19" s="65">
        <v>591.42999999999995</v>
      </c>
      <c r="AF19" s="99">
        <v>1107.2</v>
      </c>
      <c r="AG19" s="66">
        <f>374.64+141.64</f>
        <v>516.28</v>
      </c>
      <c r="AH19" s="36"/>
      <c r="AI19" s="36">
        <v>3.613551812063704E-2</v>
      </c>
      <c r="AJ19" s="36">
        <v>4.0575178698323791E-2</v>
      </c>
      <c r="AK19" s="36">
        <v>2.8128161183798017E-2</v>
      </c>
      <c r="AL19" s="63">
        <v>2.4811505678689677E-3</v>
      </c>
      <c r="AM19" s="64">
        <v>4.6448944232529996E-3</v>
      </c>
      <c r="AN19" s="64">
        <v>2.165883393097054E-3</v>
      </c>
      <c r="AO19" s="36"/>
      <c r="AP19" s="3">
        <v>11.504875800000001</v>
      </c>
      <c r="AQ19" s="3">
        <v>8.2727503500000008</v>
      </c>
      <c r="AR19" s="3">
        <v>8.99538847</v>
      </c>
      <c r="AS19" s="104">
        <v>0.78995212100000001</v>
      </c>
      <c r="AT19" s="105">
        <v>0.94703346300000002</v>
      </c>
      <c r="AU19" s="105">
        <v>0.69264970299999995</v>
      </c>
      <c r="AV19" s="10"/>
      <c r="AW19" s="5">
        <v>9.5910048733333344</v>
      </c>
      <c r="AX19" s="5">
        <v>0.80987842899999996</v>
      </c>
      <c r="AY19" s="5">
        <v>10.400883302333334</v>
      </c>
    </row>
    <row r="20" spans="1:51" x14ac:dyDescent="0.2">
      <c r="A20" s="2" t="s">
        <v>69</v>
      </c>
      <c r="B20">
        <v>261.33</v>
      </c>
      <c r="C20">
        <v>1233.5</v>
      </c>
      <c r="D20">
        <v>256.22000000000003</v>
      </c>
      <c r="E20" s="65">
        <v>122.07</v>
      </c>
      <c r="F20" s="66">
        <v>534.66</v>
      </c>
      <c r="G20" s="73">
        <v>136.91</v>
      </c>
      <c r="H20">
        <v>192.89</v>
      </c>
      <c r="I20">
        <v>852.23</v>
      </c>
      <c r="J20">
        <v>222.81</v>
      </c>
      <c r="K20" s="65">
        <v>110.77</v>
      </c>
      <c r="L20" s="66">
        <v>714.6</v>
      </c>
      <c r="M20" s="73">
        <v>100.85</v>
      </c>
      <c r="N20" s="36"/>
      <c r="O20" s="36">
        <v>111.88029797071667</v>
      </c>
      <c r="P20" s="36">
        <v>528.08459628392848</v>
      </c>
      <c r="Q20" s="36">
        <v>109.69261066872166</v>
      </c>
      <c r="R20" s="63">
        <v>93.619142572283138</v>
      </c>
      <c r="S20" s="64">
        <v>410.04678272873684</v>
      </c>
      <c r="T20" s="72">
        <v>105.00038346498964</v>
      </c>
      <c r="U20" s="36">
        <v>71.995371752762026</v>
      </c>
      <c r="V20" s="36">
        <v>318.09122126007765</v>
      </c>
      <c r="W20" s="36">
        <v>83.162884443117349</v>
      </c>
      <c r="X20" s="63">
        <v>100.1446523822439</v>
      </c>
      <c r="Y20" s="64">
        <v>646.05370219690803</v>
      </c>
      <c r="Z20" s="72">
        <v>91.176204683120858</v>
      </c>
      <c r="AA20" s="36"/>
      <c r="AB20" s="21">
        <v>0</v>
      </c>
      <c r="AC20">
        <v>20373.7</v>
      </c>
      <c r="AD20" s="36">
        <v>0</v>
      </c>
      <c r="AE20" s="65">
        <f>401.17+192.68+424.79</f>
        <v>1018.6400000000001</v>
      </c>
      <c r="AF20" s="99">
        <f>1537.23+1810.96+3051.57</f>
        <v>6399.76</v>
      </c>
      <c r="AG20" s="66">
        <v>1920.03</v>
      </c>
      <c r="AH20" s="36"/>
      <c r="AI20" s="36">
        <v>0</v>
      </c>
      <c r="AJ20" s="36">
        <v>0.12166235720555832</v>
      </c>
      <c r="AK20" s="36">
        <v>0</v>
      </c>
      <c r="AL20" s="63">
        <v>4.273369992144541E-3</v>
      </c>
      <c r="AM20" s="64">
        <v>2.6848093871168367E-2</v>
      </c>
      <c r="AN20" s="64">
        <v>8.0548560688931143E-3</v>
      </c>
      <c r="AO20" s="36"/>
      <c r="AP20" s="3">
        <v>0</v>
      </c>
      <c r="AQ20" s="3">
        <v>63.956196599999998</v>
      </c>
      <c r="AR20" s="3">
        <v>0</v>
      </c>
      <c r="AS20" s="104">
        <v>11.316004789999999</v>
      </c>
      <c r="AT20" s="105">
        <v>14.11366679</v>
      </c>
      <c r="AU20" s="105">
        <v>20.704863209999999</v>
      </c>
      <c r="AV20" s="10"/>
      <c r="AW20" s="5">
        <v>21.318732199999999</v>
      </c>
      <c r="AX20" s="5">
        <v>15.378178263333332</v>
      </c>
      <c r="AY20" s="5">
        <v>36.696910463333332</v>
      </c>
    </row>
    <row r="21" spans="1:51" x14ac:dyDescent="0.2">
      <c r="A21" s="2" t="s">
        <v>70</v>
      </c>
      <c r="B21">
        <v>860.09</v>
      </c>
      <c r="C21">
        <v>788.63</v>
      </c>
      <c r="D21">
        <v>2239.17</v>
      </c>
      <c r="E21" s="65">
        <v>415.42</v>
      </c>
      <c r="F21" s="66">
        <v>359.67</v>
      </c>
      <c r="G21" s="73">
        <v>1008.19</v>
      </c>
      <c r="H21">
        <v>650.38</v>
      </c>
      <c r="I21">
        <v>570.47</v>
      </c>
      <c r="J21">
        <v>1638.57</v>
      </c>
      <c r="K21" s="65">
        <v>537.76</v>
      </c>
      <c r="L21" s="66">
        <v>449.71</v>
      </c>
      <c r="M21" s="73">
        <v>1327.29</v>
      </c>
      <c r="N21" s="36"/>
      <c r="O21" s="36">
        <v>368.2207380768902</v>
      </c>
      <c r="P21" s="36">
        <v>337.62736535662299</v>
      </c>
      <c r="Q21" s="36">
        <v>958.63087593115858</v>
      </c>
      <c r="R21" s="63">
        <v>318.59805199785262</v>
      </c>
      <c r="S21" s="64">
        <v>275.84170565227396</v>
      </c>
      <c r="T21" s="72">
        <v>773.21113582329929</v>
      </c>
      <c r="U21" s="36">
        <v>242.751567632129</v>
      </c>
      <c r="V21" s="36">
        <v>212.92550014929833</v>
      </c>
      <c r="W21" s="36">
        <v>611.5892803822037</v>
      </c>
      <c r="X21" s="63">
        <v>486.17665672181533</v>
      </c>
      <c r="Y21" s="64">
        <v>406.57264261820808</v>
      </c>
      <c r="Z21" s="72">
        <v>1199.972877678329</v>
      </c>
      <c r="AA21" s="36"/>
      <c r="AB21" s="21">
        <v>17958.28</v>
      </c>
      <c r="AC21">
        <v>16475.23</v>
      </c>
      <c r="AD21">
        <v>19751.28</v>
      </c>
      <c r="AE21" s="65">
        <v>2113.12</v>
      </c>
      <c r="AF21" s="99">
        <v>1002.82</v>
      </c>
      <c r="AG21" s="66">
        <v>3469.18</v>
      </c>
      <c r="AH21" s="36"/>
      <c r="AI21" s="36">
        <v>0.10723858092331945</v>
      </c>
      <c r="AJ21" s="36">
        <v>9.8382489057153605E-2</v>
      </c>
      <c r="AK21" s="36">
        <v>0.11794555150154364</v>
      </c>
      <c r="AL21" s="63">
        <v>8.8649018277315549E-3</v>
      </c>
      <c r="AM21" s="64">
        <v>4.2070023713209658E-3</v>
      </c>
      <c r="AN21" s="64">
        <v>1.4553806751500035E-2</v>
      </c>
      <c r="AO21" s="36"/>
      <c r="AP21" s="3">
        <v>75.746994200000003</v>
      </c>
      <c r="AQ21" s="3">
        <v>79.793272599999995</v>
      </c>
      <c r="AR21" s="3">
        <v>33.285943600000003</v>
      </c>
      <c r="AS21" s="104">
        <v>6.2616426079999998</v>
      </c>
      <c r="AT21" s="105">
        <v>3.4120958969999999</v>
      </c>
      <c r="AU21" s="105">
        <v>4.1072951470000003</v>
      </c>
      <c r="AV21" s="10"/>
      <c r="AW21" s="5">
        <v>62.942070133333324</v>
      </c>
      <c r="AX21" s="5">
        <v>4.5936778839999999</v>
      </c>
      <c r="AY21" s="5">
        <v>67.535748017333319</v>
      </c>
    </row>
    <row r="22" spans="1:51" x14ac:dyDescent="0.2">
      <c r="G22" s="36"/>
      <c r="H22" s="36"/>
      <c r="I22" s="36"/>
      <c r="J22" s="36"/>
      <c r="K22" s="36"/>
      <c r="L22" s="36"/>
      <c r="M22" s="36"/>
      <c r="N22" s="36"/>
      <c r="O22" s="36"/>
      <c r="P22" s="36"/>
      <c r="Q22" s="36"/>
      <c r="R22" s="36"/>
      <c r="S22" s="36"/>
      <c r="T22" s="36"/>
      <c r="U22" s="36"/>
      <c r="V22" s="36"/>
      <c r="W22" s="36"/>
      <c r="X22" s="36"/>
      <c r="Y22" s="36"/>
      <c r="Z22" s="36"/>
      <c r="AA22" s="36"/>
      <c r="AC22" s="21"/>
      <c r="AE22" s="36"/>
      <c r="AF22" s="36"/>
      <c r="AG22" s="36"/>
      <c r="AH22" s="36"/>
      <c r="AI22" s="36"/>
      <c r="AJ22" s="36"/>
      <c r="AK22" s="36"/>
      <c r="AL22" s="36"/>
      <c r="AM22" s="36"/>
      <c r="AN22" s="36"/>
      <c r="AO22" s="36"/>
    </row>
    <row r="23" spans="1:51" x14ac:dyDescent="0.2">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row>
    <row r="24" spans="1:51" x14ac:dyDescent="0.2">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row>
    <row r="25" spans="1:51" x14ac:dyDescent="0.2">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row>
    <row r="26" spans="1:51" x14ac:dyDescent="0.2">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row>
    <row r="27" spans="1:51" x14ac:dyDescent="0.2">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row>
    <row r="28" spans="1:51" x14ac:dyDescent="0.2">
      <c r="B28" s="36"/>
      <c r="C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row>
    <row r="29" spans="1:51" x14ac:dyDescent="0.2">
      <c r="B29" s="36"/>
      <c r="C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row>
    <row r="30" spans="1:51" x14ac:dyDescent="0.2">
      <c r="B30" s="36"/>
      <c r="C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row>
    <row r="31" spans="1:51" x14ac:dyDescent="0.2">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row>
    <row r="32" spans="1:51" x14ac:dyDescent="0.2">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row>
    <row r="33" spans="2:41" x14ac:dyDescent="0.2">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row>
    <row r="34" spans="2:41" x14ac:dyDescent="0.2">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row>
    <row r="35" spans="2:41" x14ac:dyDescent="0.2">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row>
    <row r="36" spans="2:41" x14ac:dyDescent="0.2">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row>
    <row r="37" spans="2:41" x14ac:dyDescent="0.2">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row>
    <row r="38" spans="2:41" x14ac:dyDescent="0.2">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row>
    <row r="39" spans="2:41" x14ac:dyDescent="0.2">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row>
    <row r="40" spans="2:41" x14ac:dyDescent="0.2">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row>
    <row r="41" spans="2:41" x14ac:dyDescent="0.2">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row>
    <row r="42" spans="2:41" x14ac:dyDescent="0.2">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row>
    <row r="43" spans="2:41" x14ac:dyDescent="0.2">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row>
    <row r="44" spans="2:41" x14ac:dyDescent="0.2">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row>
    <row r="45" spans="2:41" x14ac:dyDescent="0.2">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row>
    <row r="46" spans="2:41" x14ac:dyDescent="0.2">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row>
    <row r="47" spans="2:41" x14ac:dyDescent="0.2">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row>
    <row r="48" spans="2:41" x14ac:dyDescent="0.2">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row>
    <row r="49" spans="2:41" x14ac:dyDescent="0.2">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row>
    <row r="50" spans="2:41" x14ac:dyDescent="0.2">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row>
    <row r="51" spans="2:41" x14ac:dyDescent="0.2">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row>
    <row r="52" spans="2:41" x14ac:dyDescent="0.2">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row>
    <row r="53" spans="2:41" x14ac:dyDescent="0.2">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row>
    <row r="54" spans="2:41" x14ac:dyDescent="0.2">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row>
    <row r="55" spans="2:41" x14ac:dyDescent="0.2">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row>
    <row r="56" spans="2:41" x14ac:dyDescent="0.2">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row>
    <row r="57" spans="2:41" x14ac:dyDescent="0.2">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row>
    <row r="58" spans="2:41" x14ac:dyDescent="0.2">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row>
    <row r="59" spans="2:41" x14ac:dyDescent="0.2">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row>
    <row r="60" spans="2:41" x14ac:dyDescent="0.2">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row>
    <row r="61" spans="2:41" x14ac:dyDescent="0.2">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row>
    <row r="62" spans="2:41" x14ac:dyDescent="0.2">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row>
    <row r="63" spans="2:41" x14ac:dyDescent="0.2">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row>
    <row r="64" spans="2:41" x14ac:dyDescent="0.2">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row>
    <row r="65" spans="2:41" x14ac:dyDescent="0.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row>
    <row r="69" spans="2:41" x14ac:dyDescent="0.2">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row>
  </sheetData>
  <mergeCells count="23">
    <mergeCell ref="A1:AY1"/>
    <mergeCell ref="AP5:AR5"/>
    <mergeCell ref="AS5:AU5"/>
    <mergeCell ref="AZ4:BB4"/>
    <mergeCell ref="BE4:BG4"/>
    <mergeCell ref="AP4:AU4"/>
    <mergeCell ref="AW4:AY4"/>
    <mergeCell ref="AE5:AG5"/>
    <mergeCell ref="AI5:AK5"/>
    <mergeCell ref="AL5:AN5"/>
    <mergeCell ref="B4:M4"/>
    <mergeCell ref="O4:Z4"/>
    <mergeCell ref="AB4:AG4"/>
    <mergeCell ref="AI4:AN4"/>
    <mergeCell ref="B5:D5"/>
    <mergeCell ref="E5:G5"/>
    <mergeCell ref="H5:J5"/>
    <mergeCell ref="K5:M5"/>
    <mergeCell ref="O5:Q5"/>
    <mergeCell ref="R5:T5"/>
    <mergeCell ref="U5:W5"/>
    <mergeCell ref="X5:Z5"/>
    <mergeCell ref="AB5:A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7449D-0E90-E14C-8826-64B792D8CF55}">
  <dimension ref="A1:BS69"/>
  <sheetViews>
    <sheetView topLeftCell="AN2" workbookViewId="0">
      <selection activeCell="AB4" sqref="AB4:AM4"/>
    </sheetView>
  </sheetViews>
  <sheetFormatPr baseColWidth="10" defaultRowHeight="16" x14ac:dyDescent="0.2"/>
  <sheetData>
    <row r="1" spans="1:71" s="15" customFormat="1" ht="15" x14ac:dyDescent="0.2">
      <c r="A1" s="40" t="s">
        <v>140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row>
    <row r="2" spans="1:71" s="15" customFormat="1" x14ac:dyDescent="0.2">
      <c r="A2" s="30"/>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s="30"/>
      <c r="BC2" s="30"/>
      <c r="BD2" s="30"/>
      <c r="BE2" s="30"/>
      <c r="BF2" s="30"/>
      <c r="BG2" s="30"/>
      <c r="BH2" s="30"/>
      <c r="BI2" s="30"/>
      <c r="BJ2" s="30"/>
      <c r="BK2" s="30"/>
      <c r="BL2" s="30"/>
      <c r="BM2" s="30"/>
      <c r="BN2" s="30"/>
      <c r="BO2" s="30"/>
      <c r="BP2" s="30"/>
      <c r="BQ2" s="30"/>
      <c r="BR2" s="30"/>
      <c r="BS2" s="30"/>
    </row>
    <row r="3" spans="1:71" s="15" customFormat="1" ht="15" x14ac:dyDescent="0.2">
      <c r="A3" s="30"/>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row>
    <row r="4" spans="1:71" s="10" customFormat="1" x14ac:dyDescent="0.2">
      <c r="A4" s="5"/>
      <c r="B4" s="56" t="s">
        <v>144</v>
      </c>
      <c r="C4" s="56"/>
      <c r="D4" s="56"/>
      <c r="E4" s="56"/>
      <c r="F4" s="56"/>
      <c r="G4" s="56"/>
      <c r="H4" s="56"/>
      <c r="I4" s="56"/>
      <c r="J4" s="56"/>
      <c r="K4" s="56"/>
      <c r="L4" s="56"/>
      <c r="M4" s="56"/>
      <c r="N4" s="5"/>
      <c r="O4" s="56" t="s">
        <v>147</v>
      </c>
      <c r="P4" s="56"/>
      <c r="Q4" s="56"/>
      <c r="R4" s="56"/>
      <c r="S4" s="56"/>
      <c r="T4" s="56"/>
      <c r="U4" s="56"/>
      <c r="V4" s="56"/>
      <c r="W4" s="56"/>
      <c r="X4" s="56"/>
      <c r="Y4" s="56"/>
      <c r="Z4" s="56"/>
      <c r="AA4" s="5"/>
      <c r="AB4" s="56" t="s">
        <v>145</v>
      </c>
      <c r="AC4" s="56"/>
      <c r="AD4" s="56"/>
      <c r="AE4" s="56"/>
      <c r="AF4" s="56"/>
      <c r="AG4" s="56"/>
      <c r="AH4" s="56"/>
      <c r="AI4" s="56"/>
      <c r="AJ4" s="56"/>
      <c r="AK4" s="56"/>
      <c r="AL4" s="56"/>
      <c r="AM4" s="56"/>
      <c r="AN4" s="5"/>
      <c r="AO4" s="56" t="s">
        <v>146</v>
      </c>
      <c r="AP4" s="56"/>
      <c r="AQ4" s="56"/>
      <c r="AR4" s="56"/>
      <c r="AS4" s="56"/>
      <c r="AT4" s="56"/>
      <c r="AU4" s="56"/>
      <c r="AV4" s="56"/>
      <c r="AW4" s="56"/>
      <c r="AX4" s="56"/>
      <c r="AY4" s="56"/>
      <c r="AZ4" s="56"/>
      <c r="BA4" s="19"/>
      <c r="BB4" s="56" t="s">
        <v>148</v>
      </c>
      <c r="BC4" s="56"/>
      <c r="BD4" s="56"/>
      <c r="BE4" s="56"/>
      <c r="BF4" s="56"/>
      <c r="BG4" s="56"/>
      <c r="BH4" s="56"/>
      <c r="BI4" s="56"/>
      <c r="BJ4" s="56"/>
      <c r="BK4" s="56"/>
      <c r="BL4" s="56"/>
      <c r="BM4" s="56"/>
      <c r="BN4" s="11"/>
      <c r="BO4" s="56" t="s">
        <v>150</v>
      </c>
      <c r="BP4" s="56"/>
      <c r="BQ4" s="56"/>
      <c r="BR4" s="56"/>
      <c r="BS4" s="56"/>
    </row>
    <row r="5" spans="1:71" x14ac:dyDescent="0.2">
      <c r="B5" s="92" t="s">
        <v>95</v>
      </c>
      <c r="C5" s="92"/>
      <c r="D5" s="92"/>
      <c r="E5" s="93" t="s">
        <v>96</v>
      </c>
      <c r="F5" s="92"/>
      <c r="G5" s="95"/>
      <c r="H5" s="92" t="s">
        <v>97</v>
      </c>
      <c r="I5" s="92"/>
      <c r="J5" s="92"/>
      <c r="K5" s="93" t="s">
        <v>98</v>
      </c>
      <c r="L5" s="92"/>
      <c r="M5" s="95"/>
      <c r="O5" s="91" t="s">
        <v>95</v>
      </c>
      <c r="P5" s="91"/>
      <c r="Q5" s="91"/>
      <c r="R5" s="93" t="s">
        <v>96</v>
      </c>
      <c r="S5" s="92"/>
      <c r="T5" s="95"/>
      <c r="U5" s="91" t="s">
        <v>97</v>
      </c>
      <c r="V5" s="91"/>
      <c r="W5" s="91"/>
      <c r="X5" s="93" t="s">
        <v>98</v>
      </c>
      <c r="Y5" s="92"/>
      <c r="Z5" s="95"/>
      <c r="AB5" s="97" t="s">
        <v>2</v>
      </c>
      <c r="AC5" s="97"/>
      <c r="AD5" s="97"/>
      <c r="AE5" s="98" t="s">
        <v>3</v>
      </c>
      <c r="AF5" s="97"/>
      <c r="AG5" s="107"/>
      <c r="AH5" s="97" t="s">
        <v>71</v>
      </c>
      <c r="AI5" s="97"/>
      <c r="AJ5" s="97"/>
      <c r="AK5" s="98" t="s">
        <v>72</v>
      </c>
      <c r="AL5" s="97"/>
      <c r="AM5" s="107"/>
      <c r="AO5" s="97" t="s">
        <v>2</v>
      </c>
      <c r="AP5" s="97"/>
      <c r="AQ5" s="97"/>
      <c r="AR5" s="98" t="s">
        <v>3</v>
      </c>
      <c r="AS5" s="97"/>
      <c r="AT5" s="107"/>
      <c r="AU5" s="97" t="s">
        <v>71</v>
      </c>
      <c r="AV5" s="97"/>
      <c r="AW5" s="97"/>
      <c r="AX5" s="98" t="s">
        <v>72</v>
      </c>
      <c r="AY5" s="97"/>
      <c r="AZ5" s="97"/>
      <c r="BA5" s="1"/>
      <c r="BB5" s="100" t="s">
        <v>2</v>
      </c>
      <c r="BC5" s="100"/>
      <c r="BD5" s="100"/>
      <c r="BE5" s="102" t="s">
        <v>3</v>
      </c>
      <c r="BF5" s="100"/>
      <c r="BG5" s="108"/>
      <c r="BH5" s="100" t="s">
        <v>71</v>
      </c>
      <c r="BI5" s="100"/>
      <c r="BJ5" s="100"/>
      <c r="BK5" s="102" t="s">
        <v>72</v>
      </c>
      <c r="BL5" s="100"/>
      <c r="BM5" s="100"/>
      <c r="BN5" s="5"/>
      <c r="BO5" s="50" t="s">
        <v>2</v>
      </c>
      <c r="BP5" s="50" t="s">
        <v>3</v>
      </c>
      <c r="BQ5" s="50" t="s">
        <v>71</v>
      </c>
      <c r="BR5" s="50" t="s">
        <v>72</v>
      </c>
      <c r="BS5" s="50" t="s">
        <v>4</v>
      </c>
    </row>
    <row r="6" spans="1:71" x14ac:dyDescent="0.2">
      <c r="B6" s="88" t="s">
        <v>5</v>
      </c>
      <c r="C6" s="88" t="s">
        <v>6</v>
      </c>
      <c r="D6" s="88" t="s">
        <v>7</v>
      </c>
      <c r="E6" s="94" t="s">
        <v>5</v>
      </c>
      <c r="F6" s="88" t="s">
        <v>6</v>
      </c>
      <c r="G6" s="96" t="s">
        <v>7</v>
      </c>
      <c r="H6" s="88" t="s">
        <v>5</v>
      </c>
      <c r="I6" s="88" t="s">
        <v>6</v>
      </c>
      <c r="J6" s="88" t="s">
        <v>7</v>
      </c>
      <c r="K6" s="94" t="s">
        <v>5</v>
      </c>
      <c r="L6" s="88" t="s">
        <v>6</v>
      </c>
      <c r="M6" s="96" t="s">
        <v>7</v>
      </c>
      <c r="O6" s="88" t="s">
        <v>5</v>
      </c>
      <c r="P6" s="88" t="s">
        <v>6</v>
      </c>
      <c r="Q6" s="88" t="s">
        <v>7</v>
      </c>
      <c r="R6" s="94" t="s">
        <v>5</v>
      </c>
      <c r="S6" s="88" t="s">
        <v>6</v>
      </c>
      <c r="T6" s="96" t="s">
        <v>7</v>
      </c>
      <c r="U6" s="88" t="s">
        <v>5</v>
      </c>
      <c r="V6" s="88" t="s">
        <v>6</v>
      </c>
      <c r="W6" s="88" t="s">
        <v>7</v>
      </c>
      <c r="X6" s="94" t="s">
        <v>5</v>
      </c>
      <c r="Y6" s="88" t="s">
        <v>6</v>
      </c>
      <c r="Z6" s="96" t="s">
        <v>7</v>
      </c>
      <c r="AB6" s="88" t="s">
        <v>5</v>
      </c>
      <c r="AC6" s="88" t="s">
        <v>6</v>
      </c>
      <c r="AD6" s="88" t="s">
        <v>7</v>
      </c>
      <c r="AE6" s="94" t="s">
        <v>5</v>
      </c>
      <c r="AF6" s="88" t="s">
        <v>6</v>
      </c>
      <c r="AG6" s="96" t="s">
        <v>7</v>
      </c>
      <c r="AH6" s="88" t="s">
        <v>5</v>
      </c>
      <c r="AI6" s="88" t="s">
        <v>6</v>
      </c>
      <c r="AJ6" s="88" t="s">
        <v>7</v>
      </c>
      <c r="AK6" s="94" t="s">
        <v>5</v>
      </c>
      <c r="AL6" s="88" t="s">
        <v>6</v>
      </c>
      <c r="AM6" s="96" t="s">
        <v>7</v>
      </c>
      <c r="AO6" s="88" t="s">
        <v>5</v>
      </c>
      <c r="AP6" s="88" t="s">
        <v>6</v>
      </c>
      <c r="AQ6" s="88" t="s">
        <v>7</v>
      </c>
      <c r="AR6" s="94" t="s">
        <v>5</v>
      </c>
      <c r="AS6" s="88" t="s">
        <v>6</v>
      </c>
      <c r="AT6" s="96" t="s">
        <v>7</v>
      </c>
      <c r="AU6" s="88" t="s">
        <v>5</v>
      </c>
      <c r="AV6" s="88" t="s">
        <v>6</v>
      </c>
      <c r="AW6" s="88" t="s">
        <v>7</v>
      </c>
      <c r="AX6" s="94" t="s">
        <v>5</v>
      </c>
      <c r="AY6" s="88" t="s">
        <v>6</v>
      </c>
      <c r="AZ6" s="88" t="s">
        <v>7</v>
      </c>
      <c r="BA6" s="1"/>
      <c r="BB6" s="101" t="s">
        <v>5</v>
      </c>
      <c r="BC6" s="101" t="s">
        <v>6</v>
      </c>
      <c r="BD6" s="101" t="s">
        <v>7</v>
      </c>
      <c r="BE6" s="103" t="s">
        <v>5</v>
      </c>
      <c r="BF6" s="101" t="s">
        <v>6</v>
      </c>
      <c r="BG6" s="109" t="s">
        <v>7</v>
      </c>
      <c r="BH6" s="101" t="s">
        <v>5</v>
      </c>
      <c r="BI6" s="101" t="s">
        <v>6</v>
      </c>
      <c r="BJ6" s="101" t="s">
        <v>7</v>
      </c>
      <c r="BK6" s="103" t="s">
        <v>5</v>
      </c>
      <c r="BL6" s="101" t="s">
        <v>6</v>
      </c>
      <c r="BM6" s="101" t="s">
        <v>7</v>
      </c>
    </row>
    <row r="7" spans="1:71" x14ac:dyDescent="0.2">
      <c r="A7" s="13">
        <v>44148</v>
      </c>
      <c r="B7">
        <v>1983.14</v>
      </c>
      <c r="C7">
        <v>1999.48</v>
      </c>
      <c r="D7">
        <v>1997.81</v>
      </c>
      <c r="E7" s="65">
        <v>1256.97</v>
      </c>
      <c r="F7" s="66">
        <v>1279.33</v>
      </c>
      <c r="G7" s="73">
        <v>1345.95</v>
      </c>
      <c r="H7">
        <v>1928.59</v>
      </c>
      <c r="I7">
        <v>1973.47</v>
      </c>
      <c r="J7">
        <v>2073.65</v>
      </c>
      <c r="K7" s="65">
        <v>1415.82</v>
      </c>
      <c r="L7" s="66">
        <v>1424.4</v>
      </c>
      <c r="M7" s="73">
        <v>1494.44</v>
      </c>
      <c r="N7" s="36"/>
      <c r="O7" s="36">
        <v>849.01960784313735</v>
      </c>
      <c r="P7" s="36">
        <v>856.01506978337193</v>
      </c>
      <c r="Q7" s="36">
        <v>855.30011131089998</v>
      </c>
      <c r="R7" s="63">
        <v>964.00797607178458</v>
      </c>
      <c r="S7" s="64">
        <v>981.15653040877362</v>
      </c>
      <c r="T7" s="72">
        <v>1032.249405629266</v>
      </c>
      <c r="U7" s="36">
        <v>719.83801134667067</v>
      </c>
      <c r="V7" s="36">
        <v>736.5892803822037</v>
      </c>
      <c r="W7" s="36">
        <v>773.98103911615419</v>
      </c>
      <c r="X7" s="63">
        <v>1280.0108489286681</v>
      </c>
      <c r="Y7" s="64">
        <v>1287.7678329264984</v>
      </c>
      <c r="Z7" s="72">
        <v>1351.0894132537744</v>
      </c>
      <c r="AA7" s="36"/>
      <c r="AB7">
        <v>10161.700000000001</v>
      </c>
      <c r="AC7">
        <v>6869.12</v>
      </c>
      <c r="AD7">
        <v>5691.26</v>
      </c>
      <c r="AE7" s="106">
        <v>5700.24</v>
      </c>
      <c r="AF7" s="66">
        <f>4080.45+708.32</f>
        <v>4788.7699999999995</v>
      </c>
      <c r="AG7" s="73">
        <f>4219.2+551.04</f>
        <v>4770.24</v>
      </c>
      <c r="AH7">
        <v>634.46</v>
      </c>
      <c r="AI7">
        <f>301.87+167.75+176.6</f>
        <v>646.22</v>
      </c>
      <c r="AJ7">
        <f>535.81+299.75</f>
        <v>835.56</v>
      </c>
      <c r="AK7" s="65">
        <v>1841.25</v>
      </c>
      <c r="AL7" s="66">
        <f>163.69+327.05+1013.38</f>
        <v>1504.12</v>
      </c>
      <c r="AM7" s="73">
        <f>589.25+463.9+505.22+118.09</f>
        <v>1676.46</v>
      </c>
      <c r="AN7" s="36"/>
      <c r="AO7" s="9">
        <v>4.9051712902400527E-2</v>
      </c>
      <c r="AP7" s="9">
        <v>3.3158044631522041E-2</v>
      </c>
      <c r="AQ7" s="9">
        <v>2.7472376824046765E-2</v>
      </c>
      <c r="AR7" s="63">
        <v>8.9359778721896377E-3</v>
      </c>
      <c r="AS7" s="64">
        <v>7.5071124645638724E-3</v>
      </c>
      <c r="AT7" s="72">
        <v>7.478063920998747E-3</v>
      </c>
      <c r="AU7" s="36">
        <v>6.6586205448973595E-3</v>
      </c>
      <c r="AV7" s="36">
        <v>6.7820410562109065E-3</v>
      </c>
      <c r="AW7" s="36">
        <v>8.7691532681247637E-3</v>
      </c>
      <c r="AX7" s="63">
        <v>1.0345147262082683E-2</v>
      </c>
      <c r="AY7" s="64">
        <v>8.4509669517142168E-3</v>
      </c>
      <c r="AZ7" s="64">
        <v>9.4192671168994626E-3</v>
      </c>
      <c r="BA7" s="9"/>
      <c r="BB7" s="3">
        <v>25.7295056</v>
      </c>
      <c r="BC7" s="3">
        <v>17.173532600000001</v>
      </c>
      <c r="BD7" s="3">
        <v>13.6929871</v>
      </c>
      <c r="BE7" s="104">
        <v>4.6872632799999998</v>
      </c>
      <c r="BF7" s="105">
        <v>3.8881557099999999</v>
      </c>
      <c r="BG7" s="110">
        <v>3.7272724400000001</v>
      </c>
      <c r="BH7" s="3">
        <v>3.4927019800000001</v>
      </c>
      <c r="BI7" s="3">
        <v>3.5126197700000001</v>
      </c>
      <c r="BJ7" s="3">
        <v>4.3707868400000001</v>
      </c>
      <c r="BK7" s="104">
        <v>5.4264267000000004</v>
      </c>
      <c r="BL7" s="105">
        <v>4.3770058799999996</v>
      </c>
      <c r="BM7" s="105">
        <v>4.6948214300000002</v>
      </c>
      <c r="BO7" s="5">
        <v>18.865341766666663</v>
      </c>
      <c r="BP7" s="5">
        <v>4.1008971433333334</v>
      </c>
      <c r="BQ7" s="5">
        <v>3.7920361966666669</v>
      </c>
      <c r="BR7" s="5">
        <v>4.832751336666667</v>
      </c>
      <c r="BS7" s="5">
        <v>31.591026443333334</v>
      </c>
    </row>
    <row r="8" spans="1:71" x14ac:dyDescent="0.2">
      <c r="A8" s="13">
        <v>44180</v>
      </c>
      <c r="B8">
        <v>2226.23</v>
      </c>
      <c r="C8">
        <v>2114.36</v>
      </c>
      <c r="D8">
        <v>2213.6799999999998</v>
      </c>
      <c r="E8" s="65">
        <v>1285.74</v>
      </c>
      <c r="F8" s="66">
        <v>1261.6500000000001</v>
      </c>
      <c r="G8" s="73">
        <v>1295.23</v>
      </c>
      <c r="H8">
        <v>1983.09</v>
      </c>
      <c r="I8">
        <v>1950.27</v>
      </c>
      <c r="J8">
        <v>2000.24</v>
      </c>
      <c r="K8" s="65">
        <v>1505.77</v>
      </c>
      <c r="L8" s="66">
        <v>1460.46</v>
      </c>
      <c r="M8" s="73">
        <v>1487.23</v>
      </c>
      <c r="N8" s="36"/>
      <c r="O8" s="36">
        <v>953.09101806661533</v>
      </c>
      <c r="P8" s="36">
        <v>905.19736278791004</v>
      </c>
      <c r="Q8" s="36">
        <v>947.71812655193082</v>
      </c>
      <c r="R8" s="63">
        <v>986.07255157604106</v>
      </c>
      <c r="S8" s="64">
        <v>967.59720837487544</v>
      </c>
      <c r="T8" s="72">
        <v>993.35071707953057</v>
      </c>
      <c r="U8" s="36">
        <v>740.17990444908935</v>
      </c>
      <c r="V8" s="36">
        <v>727.92997909823828</v>
      </c>
      <c r="W8" s="36">
        <v>746.58106897581376</v>
      </c>
      <c r="X8" s="61">
        <v>1361.3326100714221</v>
      </c>
      <c r="Y8" s="62">
        <v>1320.3688635747219</v>
      </c>
      <c r="Z8" s="71">
        <v>1344.5710152789077</v>
      </c>
      <c r="AA8" s="36"/>
      <c r="AB8">
        <v>4769.54</v>
      </c>
      <c r="AC8">
        <v>6557.57</v>
      </c>
      <c r="AD8">
        <v>6088.64</v>
      </c>
      <c r="AE8" s="106">
        <v>6051</v>
      </c>
      <c r="AF8" s="66">
        <v>6738.65</v>
      </c>
      <c r="AG8" s="73">
        <v>6873.74</v>
      </c>
      <c r="AH8">
        <v>631.42999999999995</v>
      </c>
      <c r="AI8">
        <v>635.66</v>
      </c>
      <c r="AJ8">
        <f>524.71+111/57+118.59</f>
        <v>645.24736842105267</v>
      </c>
      <c r="AK8" s="65">
        <f>1909.25+875.18</f>
        <v>2784.43</v>
      </c>
      <c r="AL8" s="66">
        <v>2632.54</v>
      </c>
      <c r="AM8" s="73">
        <v>3376.74</v>
      </c>
      <c r="AN8" s="36"/>
      <c r="AO8" s="36">
        <v>2.3023126716643416E-2</v>
      </c>
      <c r="AP8" s="36">
        <v>3.1654156388930453E-2</v>
      </c>
      <c r="AQ8" s="36">
        <v>2.9390576502560786E-2</v>
      </c>
      <c r="AR8" s="63">
        <v>9.4858465792000864E-3</v>
      </c>
      <c r="AS8" s="64">
        <v>1.0563840695905909E-2</v>
      </c>
      <c r="AT8" s="72">
        <v>1.0775614454686961E-2</v>
      </c>
      <c r="AU8" s="36">
        <v>6.6268208723395316E-3</v>
      </c>
      <c r="AV8" s="36">
        <v>6.6712144746232313E-3</v>
      </c>
      <c r="AW8" s="36">
        <v>6.7718333447488845E-3</v>
      </c>
      <c r="AX8" s="63">
        <v>1.5644447191289004E-2</v>
      </c>
      <c r="AY8" s="64">
        <v>1.4791046285579441E-2</v>
      </c>
      <c r="AZ8" s="64">
        <v>1.8972367992268879E-2</v>
      </c>
      <c r="BA8" s="9"/>
      <c r="BB8" s="3">
        <v>11.3956804</v>
      </c>
      <c r="BC8" s="3">
        <v>16.145576299999998</v>
      </c>
      <c r="BD8" s="3">
        <v>14.5778602</v>
      </c>
      <c r="BE8" s="104">
        <v>4.6951779299999998</v>
      </c>
      <c r="BF8" s="105">
        <v>5.3882117000000003</v>
      </c>
      <c r="BG8" s="110">
        <v>5.3447539900000001</v>
      </c>
      <c r="BH8" s="3">
        <v>3.2800554800000001</v>
      </c>
      <c r="BI8" s="3">
        <v>3.4027317199999998</v>
      </c>
      <c r="BJ8" s="3">
        <v>3.3588602700000001</v>
      </c>
      <c r="BK8" s="104">
        <v>7.74347998</v>
      </c>
      <c r="BL8" s="105">
        <v>7.5443478300000004</v>
      </c>
      <c r="BM8" s="105">
        <v>9.4103811900000007</v>
      </c>
      <c r="BO8" s="5">
        <v>14.039705633333332</v>
      </c>
      <c r="BP8" s="5">
        <v>5.1427145400000001</v>
      </c>
      <c r="BQ8" s="5">
        <v>3.3472158233333338</v>
      </c>
      <c r="BR8" s="5">
        <v>8.2327363333333334</v>
      </c>
      <c r="BS8" s="5">
        <v>30.762372329999998</v>
      </c>
    </row>
    <row r="9" spans="1:71" x14ac:dyDescent="0.2">
      <c r="A9" s="13">
        <v>44204</v>
      </c>
      <c r="B9">
        <v>1849.04</v>
      </c>
      <c r="C9">
        <v>2674.87</v>
      </c>
      <c r="D9">
        <v>2375.9499999999998</v>
      </c>
      <c r="E9" s="65">
        <v>1112.55</v>
      </c>
      <c r="F9" s="66">
        <v>1616.77</v>
      </c>
      <c r="G9" s="73">
        <v>1404.16</v>
      </c>
      <c r="H9">
        <v>1800.59</v>
      </c>
      <c r="I9">
        <v>2510.1799999999998</v>
      </c>
      <c r="J9">
        <v>2175.12</v>
      </c>
      <c r="K9" s="65">
        <v>1307.05</v>
      </c>
      <c r="L9" s="66">
        <v>1840.13</v>
      </c>
      <c r="M9" s="73">
        <v>1669.7</v>
      </c>
      <c r="N9" s="36"/>
      <c r="O9" s="36">
        <v>791.6088706224848</v>
      </c>
      <c r="P9" s="36">
        <v>1145.162257042555</v>
      </c>
      <c r="Q9" s="36">
        <v>1017.1889716585324</v>
      </c>
      <c r="R9" s="63">
        <v>853.24794846230532</v>
      </c>
      <c r="S9" s="64">
        <v>1239.9493826213666</v>
      </c>
      <c r="T9" s="72">
        <v>1076.8923997239053</v>
      </c>
      <c r="U9" s="9">
        <v>672.06255598686175</v>
      </c>
      <c r="V9" s="9">
        <v>936.91400418035232</v>
      </c>
      <c r="W9" s="9">
        <v>811.85428486115256</v>
      </c>
      <c r="X9" s="77">
        <v>1181.6743513244733</v>
      </c>
      <c r="Y9" s="78">
        <v>1663.6199258656541</v>
      </c>
      <c r="Z9" s="84">
        <v>1509.5380164542084</v>
      </c>
      <c r="AA9" s="36"/>
      <c r="AB9">
        <v>4625.57</v>
      </c>
      <c r="AC9">
        <v>5943</v>
      </c>
      <c r="AD9">
        <v>3896.06</v>
      </c>
      <c r="AE9" s="106">
        <v>4370.4799999999996</v>
      </c>
      <c r="AF9" s="66">
        <v>5342.02</v>
      </c>
      <c r="AG9" s="73">
        <v>4173.62</v>
      </c>
      <c r="AH9">
        <f>457.83+164.45</f>
        <v>622.28</v>
      </c>
      <c r="AI9">
        <f>468.04+98.8</f>
        <v>566.84</v>
      </c>
      <c r="AJ9">
        <v>531.48</v>
      </c>
      <c r="AK9" s="65">
        <v>2219.63</v>
      </c>
      <c r="AL9" s="66">
        <f>2320.03+853.45</f>
        <v>3173.4800000000005</v>
      </c>
      <c r="AM9" s="73">
        <v>2242.63</v>
      </c>
      <c r="AN9" s="36"/>
      <c r="AO9" s="36">
        <v>2.2328166709306197E-2</v>
      </c>
      <c r="AP9" s="36">
        <v>2.8687555210148531E-2</v>
      </c>
      <c r="AQ9" s="36">
        <v>1.8806736724221989E-2</v>
      </c>
      <c r="AR9" s="63">
        <v>6.8513803929040468E-3</v>
      </c>
      <c r="AS9" s="64">
        <v>8.3744145005814653E-3</v>
      </c>
      <c r="AT9" s="72">
        <v>6.5427729300745431E-3</v>
      </c>
      <c r="AU9" s="36">
        <v>6.5307921581797572E-3</v>
      </c>
      <c r="AV9" s="36">
        <v>5.9489526048444657E-3</v>
      </c>
      <c r="AW9" s="36">
        <v>5.5778514755887663E-3</v>
      </c>
      <c r="AX9" s="63">
        <v>1.2471092582395973E-2</v>
      </c>
      <c r="AY9" s="64">
        <v>1.7830342394174695E-2</v>
      </c>
      <c r="AZ9" s="64">
        <v>1.2600319133395512E-2</v>
      </c>
      <c r="BA9" s="9"/>
      <c r="BB9" s="3">
        <v>12.7640809</v>
      </c>
      <c r="BC9" s="3">
        <v>11.5080604</v>
      </c>
      <c r="BD9" s="3">
        <v>8.5185590999999992</v>
      </c>
      <c r="BE9" s="104">
        <v>3.9166481900000001</v>
      </c>
      <c r="BF9" s="105">
        <v>3.3594102800000001</v>
      </c>
      <c r="BG9" s="110">
        <v>2.96356559</v>
      </c>
      <c r="BH9" s="3">
        <v>3.7333812800000001</v>
      </c>
      <c r="BI9" s="3">
        <v>2.3864322200000001</v>
      </c>
      <c r="BJ9" s="3">
        <v>2.52650197</v>
      </c>
      <c r="BK9" s="104">
        <v>7.1292030799999999</v>
      </c>
      <c r="BL9" s="105">
        <v>7.1526714599999996</v>
      </c>
      <c r="BM9" s="105">
        <v>5.7073465099999998</v>
      </c>
      <c r="BO9" s="5">
        <v>10.930233466666666</v>
      </c>
      <c r="BP9" s="5">
        <v>3.4132080200000003</v>
      </c>
      <c r="BQ9" s="5">
        <v>2.8821051566666669</v>
      </c>
      <c r="BR9" s="5">
        <v>6.6630736833333337</v>
      </c>
      <c r="BS9" s="5">
        <v>23.888620326666668</v>
      </c>
    </row>
    <row r="10" spans="1:71" x14ac:dyDescent="0.2">
      <c r="A10" s="13">
        <v>44245</v>
      </c>
      <c r="B10">
        <v>2860.65</v>
      </c>
      <c r="C10">
        <v>2625.82</v>
      </c>
      <c r="D10">
        <v>2162.89</v>
      </c>
      <c r="E10" s="65">
        <v>1545.31</v>
      </c>
      <c r="F10" s="66">
        <v>1418.33</v>
      </c>
      <c r="G10" s="73">
        <v>1253.3399999999999</v>
      </c>
      <c r="H10">
        <v>2503.33</v>
      </c>
      <c r="I10">
        <v>2297.39</v>
      </c>
      <c r="J10">
        <v>1980.97</v>
      </c>
      <c r="K10" s="65">
        <v>1932.14</v>
      </c>
      <c r="L10" s="66">
        <v>1768</v>
      </c>
      <c r="M10" s="73">
        <v>1457.5</v>
      </c>
      <c r="N10" s="36"/>
      <c r="O10" s="36">
        <v>1224.698176213717</v>
      </c>
      <c r="P10" s="36">
        <v>1124.1630276564777</v>
      </c>
      <c r="Q10" s="36">
        <v>925.97397037417591</v>
      </c>
      <c r="R10" s="61">
        <v>1185.1445663010966</v>
      </c>
      <c r="S10" s="62">
        <v>1087.7597975304855</v>
      </c>
      <c r="T10" s="71">
        <v>961.22402024695134</v>
      </c>
      <c r="U10" s="37">
        <v>934.35727082711264</v>
      </c>
      <c r="V10" s="37">
        <v>857.4910421021201</v>
      </c>
      <c r="W10" s="37">
        <v>739.38862346969256</v>
      </c>
      <c r="X10" s="77">
        <v>1746.8040864297984</v>
      </c>
      <c r="Y10" s="78">
        <v>1598.4088237953167</v>
      </c>
      <c r="Z10" s="84">
        <v>1317.6927945032094</v>
      </c>
      <c r="AA10" s="36"/>
      <c r="AB10">
        <v>7534.26</v>
      </c>
      <c r="AC10">
        <v>5810.98</v>
      </c>
      <c r="AD10">
        <v>5044.8100000000004</v>
      </c>
      <c r="AE10" s="106">
        <v>3922.37</v>
      </c>
      <c r="AF10" s="66">
        <f>1072.92+2641.41</f>
        <v>3714.33</v>
      </c>
      <c r="AG10" s="73">
        <f>2679.47+221.64</f>
        <v>2901.1099999999997</v>
      </c>
      <c r="AH10">
        <v>902.08</v>
      </c>
      <c r="AI10">
        <v>905.98</v>
      </c>
      <c r="AJ10">
        <f>309.96+202.28</f>
        <v>512.24</v>
      </c>
      <c r="AK10" s="65">
        <v>2385.02</v>
      </c>
      <c r="AL10" s="66">
        <f>1811.71+617.11</f>
        <v>2428.8200000000002</v>
      </c>
      <c r="AM10" s="73">
        <f>1293.51+427.46</f>
        <v>1720.97</v>
      </c>
      <c r="AN10" s="36"/>
      <c r="AO10" s="36">
        <v>3.636875310745645E-2</v>
      </c>
      <c r="AP10" s="36">
        <v>2.8050279248707538E-2</v>
      </c>
      <c r="AQ10" s="36">
        <v>2.435188716131742E-2</v>
      </c>
      <c r="AR10" s="63">
        <v>6.1489010158415208E-3</v>
      </c>
      <c r="AS10" s="64">
        <v>5.8227672326095284E-3</v>
      </c>
      <c r="AT10" s="72">
        <v>4.5479233795047364E-3</v>
      </c>
      <c r="AU10" s="36">
        <v>9.4672767725956092E-3</v>
      </c>
      <c r="AV10" s="36">
        <v>9.5082070442046931E-3</v>
      </c>
      <c r="AW10" s="36">
        <v>5.3759288023172832E-3</v>
      </c>
      <c r="AX10" s="63">
        <v>1.3400343854996572E-2</v>
      </c>
      <c r="AY10" s="64">
        <v>1.3646436156465262E-2</v>
      </c>
      <c r="AZ10" s="64">
        <v>9.6693485858120494E-3</v>
      </c>
      <c r="BA10" s="9"/>
      <c r="BB10" s="3">
        <v>14.2874578</v>
      </c>
      <c r="BC10" s="3">
        <v>12.018571</v>
      </c>
      <c r="BD10" s="3">
        <v>12.3479524</v>
      </c>
      <c r="BE10" s="104">
        <v>2.4155945999999999</v>
      </c>
      <c r="BF10" s="105">
        <v>2.49485365</v>
      </c>
      <c r="BG10" s="110">
        <v>2.3060858099999999</v>
      </c>
      <c r="BH10" s="3">
        <v>3.7192178899999999</v>
      </c>
      <c r="BI10" s="3">
        <v>4.0739366800000001</v>
      </c>
      <c r="BJ10" s="3">
        <v>2.7259371099999998</v>
      </c>
      <c r="BK10" s="104">
        <v>5.2643225500000002</v>
      </c>
      <c r="BL10" s="105">
        <v>5.8470242199999998</v>
      </c>
      <c r="BM10" s="105">
        <v>4.9029734400000002</v>
      </c>
      <c r="BO10" s="5">
        <v>12.884660400000001</v>
      </c>
      <c r="BP10" s="5">
        <v>2.4055113533333334</v>
      </c>
      <c r="BQ10" s="5">
        <v>3.5063638933333334</v>
      </c>
      <c r="BR10" s="5">
        <v>5.338106736666667</v>
      </c>
      <c r="BS10" s="5">
        <v>24.134642383333336</v>
      </c>
    </row>
    <row r="11" spans="1:71" x14ac:dyDescent="0.2">
      <c r="A11" s="13">
        <v>44265</v>
      </c>
      <c r="B11">
        <v>3166.65</v>
      </c>
      <c r="C11">
        <v>3507.83</v>
      </c>
      <c r="D11">
        <v>1894.1</v>
      </c>
      <c r="E11" s="65">
        <v>1815.84</v>
      </c>
      <c r="F11" s="66">
        <v>1909.64</v>
      </c>
      <c r="G11" s="73">
        <v>1054.4000000000001</v>
      </c>
      <c r="H11">
        <v>2852.1</v>
      </c>
      <c r="I11">
        <v>3101.3</v>
      </c>
      <c r="J11">
        <v>1708.52</v>
      </c>
      <c r="K11" s="65">
        <v>2168.11</v>
      </c>
      <c r="L11" s="66">
        <v>2351.59</v>
      </c>
      <c r="M11" s="73">
        <v>1300.4100000000001</v>
      </c>
      <c r="N11" s="36"/>
      <c r="O11" s="9">
        <v>1355.7025430259441</v>
      </c>
      <c r="P11" s="9">
        <v>1501.7681308331194</v>
      </c>
      <c r="Q11" s="9">
        <v>810.89990581385393</v>
      </c>
      <c r="R11" s="77">
        <v>1392.6221335992022</v>
      </c>
      <c r="S11" s="78">
        <v>1464.5601656568756</v>
      </c>
      <c r="T11" s="84">
        <v>808.6509701664238</v>
      </c>
      <c r="U11" s="37">
        <v>1064.5341893102418</v>
      </c>
      <c r="V11" s="37">
        <v>1157.5470289638699</v>
      </c>
      <c r="W11" s="37">
        <v>637.69782024484925</v>
      </c>
      <c r="X11" s="77">
        <v>1960.1392279179097</v>
      </c>
      <c r="Y11" s="78">
        <v>2126.019347256125</v>
      </c>
      <c r="Z11" s="84">
        <v>1175.6712774613507</v>
      </c>
      <c r="AA11" s="36"/>
      <c r="AB11">
        <v>8690.07</v>
      </c>
      <c r="AC11">
        <v>3910.41</v>
      </c>
      <c r="AD11">
        <v>3365.35</v>
      </c>
      <c r="AE11" s="106">
        <f>4424.08+919.25+560.22</f>
        <v>5903.55</v>
      </c>
      <c r="AF11" s="66">
        <f>4218.09+414.03</f>
        <v>4632.12</v>
      </c>
      <c r="AG11" s="73">
        <v>2539.0500000000002</v>
      </c>
      <c r="AH11">
        <f>1023.72+172.15</f>
        <v>1195.8700000000001</v>
      </c>
      <c r="AI11">
        <f>730+360.47</f>
        <v>1090.47</v>
      </c>
      <c r="AJ11">
        <v>674.5</v>
      </c>
      <c r="AK11" s="65">
        <f>1977.57+509.67+352.33</f>
        <v>2839.5699999999997</v>
      </c>
      <c r="AL11" s="66">
        <v>3330.37</v>
      </c>
      <c r="AM11" s="73">
        <v>1230.27</v>
      </c>
      <c r="AN11" s="36"/>
      <c r="AO11" s="36">
        <v>4.1947982989240358E-2</v>
      </c>
      <c r="AP11" s="36">
        <v>1.8876005850465574E-2</v>
      </c>
      <c r="AQ11" s="36">
        <v>1.6244937561244045E-2</v>
      </c>
      <c r="AR11" s="63">
        <v>9.2546966737128856E-3</v>
      </c>
      <c r="AS11" s="64">
        <v>7.2615401845057513E-3</v>
      </c>
      <c r="AT11" s="72">
        <v>3.9803402341626144E-3</v>
      </c>
      <c r="AU11" s="36">
        <v>1.2550585617732254E-2</v>
      </c>
      <c r="AV11" s="36">
        <v>1.1444418790143152E-2</v>
      </c>
      <c r="AW11" s="36">
        <v>7.0788380000839594E-3</v>
      </c>
      <c r="AX11" s="63">
        <v>1.5954253800946162E-2</v>
      </c>
      <c r="AY11" s="64">
        <v>1.8711836028362419E-2</v>
      </c>
      <c r="AZ11" s="64">
        <v>6.912328212965356E-3</v>
      </c>
      <c r="BA11" s="9"/>
      <c r="BB11" s="3">
        <v>14.532477699999999</v>
      </c>
      <c r="BC11" s="3">
        <v>6.04042367</v>
      </c>
      <c r="BD11" s="3">
        <v>9.4642098800000003</v>
      </c>
      <c r="BE11" s="104">
        <v>3.2062011899999998</v>
      </c>
      <c r="BF11" s="105">
        <v>2.32373202</v>
      </c>
      <c r="BG11" s="110">
        <v>2.31892399</v>
      </c>
      <c r="BH11" s="3">
        <v>4.3480303999999999</v>
      </c>
      <c r="BI11" s="3">
        <v>3.6622757300000002</v>
      </c>
      <c r="BJ11" s="3">
        <v>4.1240914799999997</v>
      </c>
      <c r="BK11" s="104">
        <v>5.5271987100000004</v>
      </c>
      <c r="BL11" s="105">
        <v>5.9878884399999999</v>
      </c>
      <c r="BM11" s="105">
        <v>4.0270837999999998</v>
      </c>
      <c r="BO11" s="5">
        <v>10.012370416666668</v>
      </c>
      <c r="BP11" s="5">
        <v>2.6162857333333331</v>
      </c>
      <c r="BQ11" s="5">
        <v>4.0447992033333335</v>
      </c>
      <c r="BR11" s="5">
        <v>5.18072365</v>
      </c>
      <c r="BS11" s="5">
        <v>21.854179003333336</v>
      </c>
    </row>
    <row r="12" spans="1:71" x14ac:dyDescent="0.2">
      <c r="A12" s="2" t="s">
        <v>35</v>
      </c>
      <c r="B12">
        <v>2798.75</v>
      </c>
      <c r="C12">
        <v>4049.6</v>
      </c>
      <c r="D12">
        <v>2426.3000000000002</v>
      </c>
      <c r="E12" s="65">
        <v>1429.42</v>
      </c>
      <c r="F12" s="66">
        <v>2101.17</v>
      </c>
      <c r="G12" s="73">
        <v>1289.9000000000001</v>
      </c>
      <c r="H12">
        <v>2320.71</v>
      </c>
      <c r="I12">
        <v>3426.11</v>
      </c>
      <c r="J12">
        <v>2088.65</v>
      </c>
      <c r="K12" s="65">
        <v>1901.14</v>
      </c>
      <c r="L12" s="66">
        <v>2629.37</v>
      </c>
      <c r="M12" s="73">
        <v>1662.46</v>
      </c>
      <c r="N12" s="36"/>
      <c r="O12" s="37">
        <v>1198.1976196592175</v>
      </c>
      <c r="P12" s="37">
        <v>1733.7100779176301</v>
      </c>
      <c r="Q12" s="37">
        <v>1038.7447555441393</v>
      </c>
      <c r="R12" s="77">
        <v>1096.2650510008436</v>
      </c>
      <c r="S12" s="78">
        <v>1611.4502645908428</v>
      </c>
      <c r="T12" s="84">
        <v>989.26298028989959</v>
      </c>
      <c r="U12" s="37">
        <v>866.19513287548534</v>
      </c>
      <c r="V12" s="37">
        <v>1278.7809793968349</v>
      </c>
      <c r="W12" s="37">
        <v>779.57972529113181</v>
      </c>
      <c r="X12" s="63">
        <v>1718.7776873700388</v>
      </c>
      <c r="Y12" s="64">
        <v>2377.1539643793508</v>
      </c>
      <c r="Z12" s="72">
        <v>1502.992496157671</v>
      </c>
      <c r="AA12" s="36"/>
      <c r="AB12">
        <v>5025.04</v>
      </c>
      <c r="AC12">
        <v>12811.49</v>
      </c>
      <c r="AD12">
        <v>4960.29</v>
      </c>
      <c r="AE12" s="106">
        <f>3389.68+1266.67</f>
        <v>4656.3500000000004</v>
      </c>
      <c r="AF12" s="66">
        <v>8959.57</v>
      </c>
      <c r="AG12" s="73">
        <v>5028.62</v>
      </c>
      <c r="AH12">
        <f>215.76+142.63+127.11</f>
        <v>485.5</v>
      </c>
      <c r="AI12">
        <f>531.35+372.7</f>
        <v>904.05</v>
      </c>
      <c r="AJ12">
        <f>462.56+132.76</f>
        <v>595.31999999999994</v>
      </c>
      <c r="AK12" s="65">
        <f>1927.33</f>
        <v>1927.33</v>
      </c>
      <c r="AL12" s="66">
        <v>3792.22</v>
      </c>
      <c r="AM12" s="73">
        <v>2034.6</v>
      </c>
      <c r="AN12" s="36"/>
      <c r="AO12" s="36">
        <v>2.4256455061956044E-2</v>
      </c>
      <c r="AP12" s="36">
        <v>6.1842558758079383E-2</v>
      </c>
      <c r="AQ12" s="36">
        <v>2.3943899248417912E-2</v>
      </c>
      <c r="AR12" s="63">
        <v>7.2995243297072094E-3</v>
      </c>
      <c r="AS12" s="64">
        <v>1.4045464623302547E-2</v>
      </c>
      <c r="AT12" s="72">
        <v>7.8831131755242329E-3</v>
      </c>
      <c r="AU12" s="36">
        <v>5.0952940682590991E-3</v>
      </c>
      <c r="AV12" s="36">
        <v>9.4879518072289153E-3</v>
      </c>
      <c r="AW12" s="36">
        <v>6.2478485370051629E-3</v>
      </c>
      <c r="AX12" s="63">
        <v>1.0828791675562697E-2</v>
      </c>
      <c r="AY12" s="64">
        <v>2.1306761357890124E-2</v>
      </c>
      <c r="AZ12" s="64">
        <v>1.1431493072333156E-2</v>
      </c>
      <c r="BA12" s="9"/>
      <c r="BB12" s="3">
        <v>9.9423202199999992</v>
      </c>
      <c r="BC12" s="3">
        <v>17.666538200000002</v>
      </c>
      <c r="BD12" s="3">
        <v>11.109363200000001</v>
      </c>
      <c r="BE12" s="104">
        <v>2.9919544400000002</v>
      </c>
      <c r="BF12" s="105">
        <v>4.0123620799999999</v>
      </c>
      <c r="BG12" s="110">
        <v>3.65756499</v>
      </c>
      <c r="BH12" s="3">
        <v>2.0884768600000001</v>
      </c>
      <c r="BI12" s="3">
        <v>2.71041928</v>
      </c>
      <c r="BJ12" s="3">
        <v>2.8988435899999998</v>
      </c>
      <c r="BK12" s="104">
        <v>4.4385428200000003</v>
      </c>
      <c r="BL12" s="105">
        <v>6.0866937200000004</v>
      </c>
      <c r="BM12" s="105">
        <v>5.30392346</v>
      </c>
      <c r="BO12" s="5">
        <v>12.906073873333334</v>
      </c>
      <c r="BP12" s="5">
        <v>3.5539605033333337</v>
      </c>
      <c r="BQ12" s="5">
        <v>2.5659132433333336</v>
      </c>
      <c r="BR12" s="5">
        <v>5.2763866666666672</v>
      </c>
      <c r="BS12" s="5">
        <v>24.302334286666667</v>
      </c>
    </row>
    <row r="13" spans="1:71" x14ac:dyDescent="0.2">
      <c r="A13" s="2" t="s">
        <v>73</v>
      </c>
      <c r="B13">
        <v>1936.49</v>
      </c>
      <c r="C13">
        <v>1285.19</v>
      </c>
      <c r="D13">
        <v>1208.92</v>
      </c>
      <c r="E13" s="65">
        <v>1256.5999999999999</v>
      </c>
      <c r="F13" s="66">
        <v>918.61</v>
      </c>
      <c r="G13" s="73">
        <v>916.93</v>
      </c>
      <c r="H13">
        <v>2045.47</v>
      </c>
      <c r="I13">
        <v>1489.08</v>
      </c>
      <c r="J13">
        <v>1497.99</v>
      </c>
      <c r="K13" s="65">
        <v>1469.02</v>
      </c>
      <c r="L13" s="66">
        <v>1050.3499999999999</v>
      </c>
      <c r="M13" s="73">
        <v>1037.27</v>
      </c>
      <c r="N13" s="36"/>
      <c r="O13" s="37">
        <v>829.04786368695954</v>
      </c>
      <c r="P13" s="37">
        <v>550.21405942289584</v>
      </c>
      <c r="Q13" s="37">
        <v>517.56143505437115</v>
      </c>
      <c r="R13" s="77">
        <v>963.72421197944618</v>
      </c>
      <c r="S13" s="78">
        <v>704.50954827824216</v>
      </c>
      <c r="T13" s="84">
        <v>703.2211059130301</v>
      </c>
      <c r="U13" s="36">
        <v>763.4629740220962</v>
      </c>
      <c r="V13" s="36">
        <v>555.79277396237683</v>
      </c>
      <c r="W13" s="36">
        <v>559.11839355031361</v>
      </c>
      <c r="X13" s="63">
        <v>1328.1077660247715</v>
      </c>
      <c r="Y13" s="64">
        <v>949.59768556188396</v>
      </c>
      <c r="Z13" s="72">
        <v>937.77235331344355</v>
      </c>
      <c r="AA13" s="36"/>
      <c r="AB13">
        <v>7690.41</v>
      </c>
      <c r="AC13">
        <v>8814.0499999999993</v>
      </c>
      <c r="AD13">
        <v>6416.51</v>
      </c>
      <c r="AE13" s="106">
        <f>2451.61+1074.46</f>
        <v>3526.07</v>
      </c>
      <c r="AF13" s="66">
        <f>2201.98+620.56</f>
        <v>2822.54</v>
      </c>
      <c r="AG13" s="73">
        <f>1953.96+331.75</f>
        <v>2285.71</v>
      </c>
      <c r="AH13">
        <f>1491.29+956.57+375.94</f>
        <v>2823.8</v>
      </c>
      <c r="AI13">
        <f>792.45+613.05+326.39+381.43</f>
        <v>2113.3199999999997</v>
      </c>
      <c r="AJ13">
        <f>1240.05+211.75+160.23</f>
        <v>1612.03</v>
      </c>
      <c r="AK13" s="65">
        <v>2446.66</v>
      </c>
      <c r="AL13" s="66">
        <v>1184.45</v>
      </c>
      <c r="AM13" s="73">
        <v>1708.75</v>
      </c>
      <c r="AN13" s="36"/>
      <c r="AO13" s="36">
        <v>3.7122507397556515E-2</v>
      </c>
      <c r="AP13" s="36">
        <v>4.254644893151769E-2</v>
      </c>
      <c r="AQ13" s="36">
        <v>3.0973243291514411E-2</v>
      </c>
      <c r="AR13" s="63">
        <v>5.5276415547050152E-3</v>
      </c>
      <c r="AS13" s="64">
        <v>4.4247531653702548E-3</v>
      </c>
      <c r="AT13" s="72">
        <v>3.5831919326629368E-3</v>
      </c>
      <c r="AU13" s="36">
        <v>2.9635615633264768E-2</v>
      </c>
      <c r="AV13" s="36">
        <v>2.2179169640233403E-2</v>
      </c>
      <c r="AW13" s="36">
        <v>1.6918160446664707E-2</v>
      </c>
      <c r="AX13" s="63">
        <v>1.3746671011675336E-2</v>
      </c>
      <c r="AY13" s="64">
        <v>6.6548864491914918E-3</v>
      </c>
      <c r="AZ13" s="64">
        <v>9.6006899574114235E-3</v>
      </c>
      <c r="BB13" s="3">
        <v>9.5569596099999998</v>
      </c>
      <c r="BC13" s="3">
        <v>15.414743</v>
      </c>
      <c r="BD13" s="3">
        <v>11.396970899999999</v>
      </c>
      <c r="BE13" s="104">
        <v>2.8461141599999999</v>
      </c>
      <c r="BF13" s="105">
        <v>3.20621036</v>
      </c>
      <c r="BG13" s="110">
        <v>2.6369556300000001</v>
      </c>
      <c r="BH13" s="3">
        <v>7.6295056900000002</v>
      </c>
      <c r="BI13" s="3">
        <v>8.0355989300000008</v>
      </c>
      <c r="BJ13" s="3">
        <v>6.2252370499999996</v>
      </c>
      <c r="BK13" s="104">
        <v>7.0779906199999996</v>
      </c>
      <c r="BL13" s="105">
        <v>4.8221821900000004</v>
      </c>
      <c r="BM13" s="105">
        <v>7.0653746399999999</v>
      </c>
      <c r="BO13" s="5">
        <v>12.122891170000001</v>
      </c>
      <c r="BP13" s="5">
        <v>2.8964267166666668</v>
      </c>
      <c r="BQ13" s="5">
        <v>7.2967805566666675</v>
      </c>
      <c r="BR13" s="5">
        <v>6.3218491500000011</v>
      </c>
      <c r="BS13" s="5">
        <v>28.637947593333337</v>
      </c>
    </row>
    <row r="14" spans="1:71" x14ac:dyDescent="0.2">
      <c r="A14" s="2" t="s">
        <v>40</v>
      </c>
      <c r="B14">
        <v>1902.08</v>
      </c>
      <c r="C14">
        <v>2253.71</v>
      </c>
      <c r="D14">
        <v>2149.42</v>
      </c>
      <c r="E14" s="65">
        <v>1092.97</v>
      </c>
      <c r="F14" s="66">
        <v>1338.54</v>
      </c>
      <c r="G14" s="73">
        <v>1341.57</v>
      </c>
      <c r="H14">
        <v>1775.01</v>
      </c>
      <c r="I14">
        <v>2186.02</v>
      </c>
      <c r="J14">
        <v>2138.35</v>
      </c>
      <c r="K14" s="65">
        <v>1340.23</v>
      </c>
      <c r="L14" s="66">
        <v>1638.93</v>
      </c>
      <c r="M14" s="73">
        <v>1616.27</v>
      </c>
      <c r="N14" s="36"/>
      <c r="O14" s="37">
        <v>814.31629420327079</v>
      </c>
      <c r="P14" s="37">
        <v>964.85572394896826</v>
      </c>
      <c r="Q14" s="37">
        <v>920.20720952136321</v>
      </c>
      <c r="R14" s="63">
        <v>838.2314594677506</v>
      </c>
      <c r="S14" s="64">
        <v>1026.5664544827057</v>
      </c>
      <c r="T14" s="72">
        <v>1028.8902523199631</v>
      </c>
      <c r="U14" s="36">
        <v>662.51492982979994</v>
      </c>
      <c r="V14" s="36">
        <v>815.92266348163639</v>
      </c>
      <c r="W14" s="36">
        <v>798.13003881755753</v>
      </c>
      <c r="X14" s="65">
        <v>1211.6716390923061</v>
      </c>
      <c r="Y14" s="66">
        <v>1481.7195551939246</v>
      </c>
      <c r="Z14" s="73">
        <v>1461.2331615586293</v>
      </c>
      <c r="AA14" s="36"/>
      <c r="AB14">
        <v>4668</v>
      </c>
      <c r="AC14">
        <v>4867.8100000000004</v>
      </c>
      <c r="AD14">
        <v>10357</v>
      </c>
      <c r="AE14" s="106">
        <v>4254.2</v>
      </c>
      <c r="AF14" s="66">
        <f>3796.92+1108.39</f>
        <v>4905.3100000000004</v>
      </c>
      <c r="AG14" s="73">
        <v>8051.22</v>
      </c>
      <c r="AH14">
        <f>602.25+406.78+188.77</f>
        <v>1197.8</v>
      </c>
      <c r="AI14">
        <f>1375.03+230.57</f>
        <v>1605.6</v>
      </c>
      <c r="AJ14">
        <v>3154.97</v>
      </c>
      <c r="AK14" s="65">
        <v>1782.96</v>
      </c>
      <c r="AL14" s="66">
        <f>1825.42+465.71</f>
        <v>2291.13</v>
      </c>
      <c r="AM14" s="73">
        <f>1998.59+1899.82+1171.27</f>
        <v>5069.68</v>
      </c>
      <c r="AN14" s="36"/>
      <c r="AO14" s="36">
        <v>2.253298127561389E-2</v>
      </c>
      <c r="AP14" s="36">
        <v>2.3497487485699669E-2</v>
      </c>
      <c r="AQ14" s="36">
        <v>4.9994448815666892E-2</v>
      </c>
      <c r="AR14" s="63">
        <v>6.6690941195228894E-3</v>
      </c>
      <c r="AS14" s="64">
        <v>7.6898063267916011E-3</v>
      </c>
      <c r="AT14" s="72">
        <v>1.2621490281835616E-2</v>
      </c>
      <c r="AU14" s="36">
        <v>1.257084085470803E-2</v>
      </c>
      <c r="AV14" s="36">
        <v>1.6850677973216908E-2</v>
      </c>
      <c r="AW14" s="36">
        <v>3.3111225389362328E-2</v>
      </c>
      <c r="AX14" s="63">
        <v>1.0017642233484286E-2</v>
      </c>
      <c r="AY14" s="62">
        <v>1.2872818599633672E-2</v>
      </c>
      <c r="AZ14" s="62">
        <v>2.8484228742232363E-2</v>
      </c>
      <c r="BB14" s="3">
        <v>12.7783832</v>
      </c>
      <c r="BC14" s="3">
        <v>10.956929199999999</v>
      </c>
      <c r="BD14" s="3">
        <v>11.8795096</v>
      </c>
      <c r="BE14" s="104">
        <v>3.7820224100000002</v>
      </c>
      <c r="BF14" s="105">
        <v>3.58577331</v>
      </c>
      <c r="BG14" s="110">
        <v>2.9990752700000001</v>
      </c>
      <c r="BH14" s="3">
        <v>7.1288845199999997</v>
      </c>
      <c r="BI14" s="3">
        <v>7.8575075600000002</v>
      </c>
      <c r="BJ14" s="3">
        <v>7.8677758999999998</v>
      </c>
      <c r="BK14" s="104">
        <v>5.6809735699999999</v>
      </c>
      <c r="BL14" s="105">
        <v>6.0026231399999999</v>
      </c>
      <c r="BM14" s="105">
        <v>6.7683248200000001</v>
      </c>
      <c r="BO14" s="5">
        <v>11.871607333333332</v>
      </c>
      <c r="BP14" s="5">
        <v>3.4556236633333337</v>
      </c>
      <c r="BQ14" s="5">
        <v>7.6180559933333329</v>
      </c>
      <c r="BR14" s="5">
        <v>6.1506405099999997</v>
      </c>
      <c r="BS14" s="5">
        <v>29.095927499999998</v>
      </c>
    </row>
    <row r="15" spans="1:71" x14ac:dyDescent="0.2">
      <c r="A15" s="2" t="s">
        <v>74</v>
      </c>
      <c r="B15">
        <v>3556.91</v>
      </c>
      <c r="C15">
        <v>1713.81</v>
      </c>
      <c r="D15">
        <v>1173.49</v>
      </c>
      <c r="E15" s="65">
        <v>2099.08</v>
      </c>
      <c r="F15" s="66">
        <v>1076.07</v>
      </c>
      <c r="G15" s="73">
        <v>1509.89</v>
      </c>
      <c r="H15">
        <v>3347.08</v>
      </c>
      <c r="I15">
        <v>1731.56</v>
      </c>
      <c r="J15">
        <v>2476.81</v>
      </c>
      <c r="K15" s="65">
        <v>2567.92</v>
      </c>
      <c r="L15" s="66">
        <v>1294.5</v>
      </c>
      <c r="M15" s="73">
        <v>1760.67</v>
      </c>
      <c r="N15" s="36"/>
      <c r="O15" s="36">
        <v>1522.7802037845706</v>
      </c>
      <c r="P15" s="36">
        <v>733.71435910608784</v>
      </c>
      <c r="Q15" s="36">
        <v>502.39318434797502</v>
      </c>
      <c r="R15" s="63">
        <v>1609.8473809341206</v>
      </c>
      <c r="S15" s="64">
        <v>825.27034281770068</v>
      </c>
      <c r="T15" s="72">
        <v>1157.9799064345425</v>
      </c>
      <c r="U15">
        <v>1249.2833681696029</v>
      </c>
      <c r="V15">
        <v>646.2974022096148</v>
      </c>
      <c r="W15">
        <v>924.45879366975225</v>
      </c>
      <c r="X15" s="65">
        <v>2321.5984088237951</v>
      </c>
      <c r="Y15" s="66">
        <v>1170.3281800922159</v>
      </c>
      <c r="Z15" s="73">
        <v>1591.7819365337673</v>
      </c>
      <c r="AA15" s="36"/>
      <c r="AB15">
        <v>18246.47</v>
      </c>
      <c r="AC15">
        <v>8612.2800000000007</v>
      </c>
      <c r="AD15">
        <v>12788.29</v>
      </c>
      <c r="AE15" s="106">
        <v>21715.31</v>
      </c>
      <c r="AF15" s="66">
        <v>11709.83</v>
      </c>
      <c r="AG15" s="73">
        <v>14861.4</v>
      </c>
      <c r="AH15">
        <f>3471.48+975.65</f>
        <v>4447.13</v>
      </c>
      <c r="AI15">
        <f>1329.78+793.02+1025.59</f>
        <v>3148.3900000000003</v>
      </c>
      <c r="AJ15">
        <v>2163.77</v>
      </c>
      <c r="AK15" s="65">
        <v>9052.7800000000007</v>
      </c>
      <c r="AL15" s="66">
        <f>3469.5+2113.99</f>
        <v>5583.49</v>
      </c>
      <c r="AM15" s="73">
        <v>6682.08</v>
      </c>
      <c r="AN15" s="36"/>
      <c r="AO15" s="36">
        <v>8.8077842085700631E-2</v>
      </c>
      <c r="AP15" s="36">
        <v>4.1572481572481577E-2</v>
      </c>
      <c r="AQ15" s="36">
        <v>6.1730569648054914E-2</v>
      </c>
      <c r="AR15" s="63">
        <v>3.4041992906919422E-2</v>
      </c>
      <c r="AS15" s="64">
        <v>1.8356908089326482E-2</v>
      </c>
      <c r="AT15" s="72">
        <v>2.3297464940030436E-2</v>
      </c>
      <c r="AU15" s="36">
        <v>4.6672368918181439E-2</v>
      </c>
      <c r="AV15" s="9">
        <v>3.3042168674698801E-2</v>
      </c>
      <c r="AW15" s="9">
        <v>2.2708639435791947E-2</v>
      </c>
      <c r="AX15" s="63">
        <v>5.0863458102504748E-2</v>
      </c>
      <c r="AY15" s="62">
        <v>3.1371093706105108E-2</v>
      </c>
      <c r="AZ15" s="62">
        <v>3.7543571821869626E-2</v>
      </c>
      <c r="BB15" s="3">
        <v>13.1390645</v>
      </c>
      <c r="BC15" s="3">
        <v>12.3155454</v>
      </c>
      <c r="BD15" s="3">
        <v>14.780052</v>
      </c>
      <c r="BE15" s="104">
        <v>5.0782345600000003</v>
      </c>
      <c r="BF15" s="105">
        <v>5.4381005299999998</v>
      </c>
      <c r="BG15" s="110">
        <v>5.5780749500000004</v>
      </c>
      <c r="BH15" s="3">
        <v>6.9623784200000003</v>
      </c>
      <c r="BI15" s="3">
        <v>9.7885021900000009</v>
      </c>
      <c r="BJ15" s="3">
        <v>5.4370934000000002</v>
      </c>
      <c r="BK15" s="104">
        <v>7.5875866399999996</v>
      </c>
      <c r="BL15" s="105">
        <v>9.2934583899999996</v>
      </c>
      <c r="BM15" s="105">
        <v>8.98899765</v>
      </c>
      <c r="BO15" s="5">
        <v>13.411553966666666</v>
      </c>
      <c r="BP15" s="5">
        <v>5.3648033466666663</v>
      </c>
      <c r="BQ15" s="5">
        <v>7.3959913366666683</v>
      </c>
      <c r="BR15" s="5">
        <v>8.6233475599999991</v>
      </c>
      <c r="BS15" s="5">
        <v>34.795696210000003</v>
      </c>
    </row>
    <row r="16" spans="1:71" x14ac:dyDescent="0.2">
      <c r="A16" s="2" t="s">
        <v>75</v>
      </c>
      <c r="B16">
        <v>2627.79</v>
      </c>
      <c r="C16">
        <v>2392.4499999999998</v>
      </c>
      <c r="D16">
        <v>4614.2299999999996</v>
      </c>
      <c r="E16" s="65">
        <v>1388.32</v>
      </c>
      <c r="F16" s="66">
        <v>1289.48</v>
      </c>
      <c r="G16" s="73">
        <v>2404.58</v>
      </c>
      <c r="H16">
        <v>2213.4899999999998</v>
      </c>
      <c r="I16">
        <v>2066.64</v>
      </c>
      <c r="J16">
        <v>3867.38</v>
      </c>
      <c r="K16" s="65">
        <v>1769.39</v>
      </c>
      <c r="L16" s="66">
        <v>1653.75</v>
      </c>
      <c r="M16" s="73">
        <v>3058.66</v>
      </c>
      <c r="N16" s="36"/>
      <c r="O16" s="36">
        <v>1125.0064217826869</v>
      </c>
      <c r="P16" s="36">
        <v>1024.2529326140937</v>
      </c>
      <c r="Q16" s="36">
        <v>1975.4388218169363</v>
      </c>
      <c r="R16" s="65">
        <v>1064.7442288519057</v>
      </c>
      <c r="S16" s="66">
        <v>988.94086969859654</v>
      </c>
      <c r="T16" s="73">
        <v>1844.1444896080986</v>
      </c>
      <c r="U16">
        <v>826.17572409674528</v>
      </c>
      <c r="V16">
        <v>771.36458644371453</v>
      </c>
      <c r="W16">
        <v>1443.4831292923261</v>
      </c>
      <c r="X16" s="63">
        <v>1599.6654913660609</v>
      </c>
      <c r="Y16" s="64">
        <v>1495.1179820992677</v>
      </c>
      <c r="Z16" s="72">
        <v>2765.2653467136784</v>
      </c>
      <c r="AA16" s="36"/>
      <c r="AB16">
        <f>6445.89+4163.03</f>
        <v>10608.92</v>
      </c>
      <c r="AC16">
        <v>9432.1</v>
      </c>
      <c r="AD16">
        <v>26077.03</v>
      </c>
      <c r="AE16" s="106">
        <v>28907.54</v>
      </c>
      <c r="AF16" s="66">
        <v>28625.89</v>
      </c>
      <c r="AG16" s="73">
        <v>47650.2</v>
      </c>
      <c r="AH16">
        <v>2451.14</v>
      </c>
      <c r="AI16">
        <v>1965.54</v>
      </c>
      <c r="AJ16">
        <v>4164.84</v>
      </c>
      <c r="AK16" s="65">
        <v>8862.5</v>
      </c>
      <c r="AL16" s="66">
        <v>10442.19</v>
      </c>
      <c r="AM16" s="73">
        <v>15497.64</v>
      </c>
      <c r="AN16" s="36"/>
      <c r="AO16" s="36">
        <v>5.121049608279471E-2</v>
      </c>
      <c r="AP16" s="36">
        <v>4.5529848476803289E-2</v>
      </c>
      <c r="AQ16" s="36">
        <v>0.1258768699043748</v>
      </c>
      <c r="AR16" s="63">
        <v>4.5316888022159919E-2</v>
      </c>
      <c r="AS16" s="62">
        <v>4.4875359565866461E-2</v>
      </c>
      <c r="AT16" s="71">
        <v>7.4698807910791587E-2</v>
      </c>
      <c r="AU16" s="36">
        <v>2.5724570756895174E-2</v>
      </c>
      <c r="AV16" s="9">
        <v>2.0628227194492255E-2</v>
      </c>
      <c r="AW16" s="9">
        <v>4.3709751899584405E-2</v>
      </c>
      <c r="AX16" s="63">
        <v>4.9794361227539864E-2</v>
      </c>
      <c r="AY16" s="62">
        <v>5.8669921677473008E-2</v>
      </c>
      <c r="AZ16" s="62">
        <v>8.7074198514456511E-2</v>
      </c>
      <c r="BB16" s="3">
        <v>11.095109300000001</v>
      </c>
      <c r="BC16" s="3">
        <v>10.638619500000001</v>
      </c>
      <c r="BD16" s="3">
        <v>15.679081699999999</v>
      </c>
      <c r="BE16" s="104">
        <v>9.8182181899999996</v>
      </c>
      <c r="BF16" s="105">
        <v>10.48569</v>
      </c>
      <c r="BG16" s="110">
        <v>9.3043996999999994</v>
      </c>
      <c r="BH16" s="3">
        <v>5.5734067300000003</v>
      </c>
      <c r="BI16" s="3">
        <v>4.8200437200000001</v>
      </c>
      <c r="BJ16" s="3">
        <v>5.4444376600000002</v>
      </c>
      <c r="BK16" s="104">
        <v>10.7882938</v>
      </c>
      <c r="BL16" s="105">
        <v>13.7089622</v>
      </c>
      <c r="BM16" s="105">
        <v>10.845864499999999</v>
      </c>
      <c r="BO16" s="5">
        <v>12.470936833333333</v>
      </c>
      <c r="BP16" s="5">
        <v>9.8694359633333324</v>
      </c>
      <c r="BQ16" s="5">
        <v>5.2792960366666666</v>
      </c>
      <c r="BR16" s="5">
        <v>11.781040166666665</v>
      </c>
      <c r="BS16" s="5">
        <v>39.400708999999992</v>
      </c>
    </row>
    <row r="17" spans="1:71" x14ac:dyDescent="0.2">
      <c r="A17" s="2" t="s">
        <v>76</v>
      </c>
      <c r="B17">
        <v>45.41</v>
      </c>
      <c r="C17">
        <v>42.45</v>
      </c>
      <c r="D17">
        <v>54.5</v>
      </c>
      <c r="E17" s="65">
        <v>67.55</v>
      </c>
      <c r="F17" s="66">
        <v>55.98</v>
      </c>
      <c r="G17" s="73">
        <v>69.8</v>
      </c>
      <c r="H17">
        <v>75.88</v>
      </c>
      <c r="I17">
        <v>61.65</v>
      </c>
      <c r="J17">
        <v>78.180000000000007</v>
      </c>
      <c r="K17" s="65">
        <v>50.12</v>
      </c>
      <c r="L17" s="66">
        <v>45.61</v>
      </c>
      <c r="M17" s="73">
        <v>52.92</v>
      </c>
      <c r="N17" s="36"/>
      <c r="O17">
        <v>19.440876787396181</v>
      </c>
      <c r="P17">
        <v>18.173645003853071</v>
      </c>
      <c r="Q17">
        <v>23.332477095641753</v>
      </c>
      <c r="R17" s="65">
        <v>51.806120101234754</v>
      </c>
      <c r="S17" s="66">
        <v>42.93274024081601</v>
      </c>
      <c r="T17" s="73">
        <v>53.531712554643754</v>
      </c>
      <c r="U17" s="36">
        <v>28.321887130486711</v>
      </c>
      <c r="V17" s="36">
        <v>23.010600179157958</v>
      </c>
      <c r="W17" s="36">
        <v>29.180352343983284</v>
      </c>
      <c r="X17" s="63">
        <v>45.312358737907957</v>
      </c>
      <c r="Y17" s="64">
        <v>41.234969713407466</v>
      </c>
      <c r="Z17" s="72">
        <v>47.843775427176567</v>
      </c>
      <c r="AA17" s="36"/>
      <c r="AB17">
        <v>1920.81</v>
      </c>
      <c r="AC17">
        <v>921.64</v>
      </c>
      <c r="AD17">
        <v>1636.87</v>
      </c>
      <c r="AE17" s="106">
        <v>631.29999999999995</v>
      </c>
      <c r="AF17" s="66">
        <v>623.51</v>
      </c>
      <c r="AG17" s="73">
        <f>389.21+333.06</f>
        <v>722.27</v>
      </c>
      <c r="AH17" s="21">
        <v>155.76</v>
      </c>
      <c r="AI17">
        <v>56.23</v>
      </c>
      <c r="AJ17">
        <v>221.01</v>
      </c>
      <c r="AK17" s="106">
        <v>92.08</v>
      </c>
      <c r="AL17" s="66">
        <v>47.19</v>
      </c>
      <c r="AM17" s="73">
        <v>58.19</v>
      </c>
      <c r="AN17" s="36"/>
      <c r="AO17" s="36">
        <v>9.2719742425046939E-3</v>
      </c>
      <c r="AP17" s="9">
        <v>4.4488639380584373E-3</v>
      </c>
      <c r="AQ17" s="9">
        <v>7.9013626950758583E-3</v>
      </c>
      <c r="AR17" s="63">
        <v>9.8965707245893481E-4</v>
      </c>
      <c r="AS17" s="62">
        <v>9.774450835559488E-4</v>
      </c>
      <c r="AT17" s="71">
        <v>1.1322661392759619E-3</v>
      </c>
      <c r="AU17" s="36">
        <v>1.6346920784182024E-3</v>
      </c>
      <c r="AV17" s="9">
        <v>5.9013055707149149E-4</v>
      </c>
      <c r="AW17" s="9">
        <v>2.3194870072624995E-3</v>
      </c>
      <c r="AX17" s="63">
        <v>5.1735568765380764E-4</v>
      </c>
      <c r="AY17" s="64">
        <v>2.651391713768808E-4</v>
      </c>
      <c r="AZ17" s="64">
        <v>3.2694317402883437E-4</v>
      </c>
      <c r="BB17" s="3">
        <v>63.9970645</v>
      </c>
      <c r="BC17" s="3">
        <v>35.490981599999998</v>
      </c>
      <c r="BD17" s="3">
        <v>51.344785799999997</v>
      </c>
      <c r="BE17" s="104">
        <v>6.8308157300000003</v>
      </c>
      <c r="BF17" s="105">
        <v>7.7976054100000001</v>
      </c>
      <c r="BG17" s="110">
        <v>7.3577134300000004</v>
      </c>
      <c r="BH17" s="3">
        <v>11.2829794</v>
      </c>
      <c r="BI17" s="3">
        <v>4.7077890099999999</v>
      </c>
      <c r="BJ17" s="3">
        <v>15.0725347</v>
      </c>
      <c r="BK17" s="104">
        <v>3.57089488</v>
      </c>
      <c r="BL17" s="105">
        <v>2.1151578500000001</v>
      </c>
      <c r="BM17" s="105">
        <v>2.1245483699999999</v>
      </c>
      <c r="BO17" s="5">
        <v>50.277610633333325</v>
      </c>
      <c r="BP17" s="5">
        <v>7.3287115233333333</v>
      </c>
      <c r="BQ17" s="5">
        <v>10.35443437</v>
      </c>
      <c r="BR17" s="5">
        <v>2.6035336999999998</v>
      </c>
      <c r="BS17" s="5">
        <v>70.564290226666657</v>
      </c>
    </row>
    <row r="18" spans="1:71" x14ac:dyDescent="0.2">
      <c r="A18" s="2" t="s">
        <v>77</v>
      </c>
      <c r="B18">
        <v>1351.47</v>
      </c>
      <c r="C18">
        <v>1611.93</v>
      </c>
      <c r="D18">
        <v>983.89</v>
      </c>
      <c r="E18" s="65">
        <v>849.11</v>
      </c>
      <c r="F18" s="66">
        <v>982.39</v>
      </c>
      <c r="G18" s="73">
        <v>701.82</v>
      </c>
      <c r="H18">
        <v>1339.94</v>
      </c>
      <c r="I18">
        <v>1555.99</v>
      </c>
      <c r="J18">
        <v>1104.27</v>
      </c>
      <c r="K18" s="65">
        <v>1039.6099999999999</v>
      </c>
      <c r="L18" s="66">
        <v>1199.3</v>
      </c>
      <c r="M18" s="73">
        <v>808.96</v>
      </c>
      <c r="N18" s="36"/>
      <c r="O18">
        <v>578.58977652196256</v>
      </c>
      <c r="P18">
        <v>690.09761109684052</v>
      </c>
      <c r="Q18">
        <v>421.22185118588919</v>
      </c>
      <c r="R18" s="63">
        <v>651.2079147173863</v>
      </c>
      <c r="S18" s="64">
        <v>753.42434235754274</v>
      </c>
      <c r="T18" s="72">
        <v>538.2467980673365</v>
      </c>
      <c r="U18" s="36">
        <v>500.12690355329954</v>
      </c>
      <c r="V18" s="36">
        <v>580.76664676022699</v>
      </c>
      <c r="W18" s="36">
        <v>412.16407882950136</v>
      </c>
      <c r="X18" s="63">
        <v>939.88789440376081</v>
      </c>
      <c r="Y18" s="64">
        <v>1084.2600126570833</v>
      </c>
      <c r="Z18" s="72">
        <v>731.36244462525985</v>
      </c>
      <c r="AA18" s="36"/>
      <c r="AB18" s="21">
        <v>9376.89</v>
      </c>
      <c r="AC18">
        <v>11575.46</v>
      </c>
      <c r="AD18">
        <v>19420.34</v>
      </c>
      <c r="AE18" s="106">
        <v>6184.05</v>
      </c>
      <c r="AF18" s="66">
        <v>5322.89</v>
      </c>
      <c r="AG18" s="73">
        <v>6754.54</v>
      </c>
      <c r="AH18" s="21">
        <v>2297.48</v>
      </c>
      <c r="AI18">
        <v>1413.07</v>
      </c>
      <c r="AJ18">
        <v>2348.0100000000002</v>
      </c>
      <c r="AK18" s="63">
        <v>5434.74</v>
      </c>
      <c r="AL18" s="64">
        <v>5058.82</v>
      </c>
      <c r="AM18" s="72">
        <v>5409.95</v>
      </c>
      <c r="AN18" s="36"/>
      <c r="AO18" s="36">
        <v>4.526334335764591E-2</v>
      </c>
      <c r="AP18" s="9">
        <v>5.5876097565684985E-2</v>
      </c>
      <c r="AQ18" s="9">
        <v>9.3744249697098422E-2</v>
      </c>
      <c r="AR18" s="63">
        <v>9.6944223331849773E-3</v>
      </c>
      <c r="AS18" s="62">
        <v>8.3444253673704092E-3</v>
      </c>
      <c r="AT18" s="71">
        <v>1.0588750645028946E-2</v>
      </c>
      <c r="AU18" s="36">
        <v>2.4111918055497252E-2</v>
      </c>
      <c r="AV18" s="36">
        <v>1.4830086898115108E-2</v>
      </c>
      <c r="AW18" s="36">
        <v>2.4642227446370853E-2</v>
      </c>
      <c r="AX18" s="63">
        <v>3.053533503387983E-2</v>
      </c>
      <c r="AY18" s="64">
        <v>2.8423211335977795E-2</v>
      </c>
      <c r="AZ18" s="64">
        <v>3.0396051286085107E-2</v>
      </c>
      <c r="BB18" s="3">
        <v>16.9537537</v>
      </c>
      <c r="BC18" s="3">
        <v>17.9749795</v>
      </c>
      <c r="BD18" s="3">
        <v>44.576540600000001</v>
      </c>
      <c r="BE18" s="104">
        <v>3.6311247999999998</v>
      </c>
      <c r="BF18" s="105">
        <v>2.6843477199999999</v>
      </c>
      <c r="BG18" s="110">
        <v>5.0350808100000002</v>
      </c>
      <c r="BH18" s="3">
        <v>9.03131518</v>
      </c>
      <c r="BI18" s="3">
        <v>4.7707431199999997</v>
      </c>
      <c r="BJ18" s="3">
        <v>11.7176814</v>
      </c>
      <c r="BK18" s="104">
        <v>11.4372583</v>
      </c>
      <c r="BL18" s="105">
        <v>9.1435633999999997</v>
      </c>
      <c r="BM18" s="105">
        <v>14.4536952</v>
      </c>
      <c r="BO18" s="5">
        <v>26.501757933333334</v>
      </c>
      <c r="BP18" s="5">
        <v>3.7835177766666668</v>
      </c>
      <c r="BQ18" s="5">
        <v>8.5065799000000002</v>
      </c>
      <c r="BR18" s="5">
        <v>11.6781723</v>
      </c>
      <c r="BS18" s="5">
        <v>50.470027909999999</v>
      </c>
    </row>
    <row r="19" spans="1:71" x14ac:dyDescent="0.2">
      <c r="A19" s="2" t="s">
        <v>78</v>
      </c>
      <c r="B19">
        <v>2269.6</v>
      </c>
      <c r="C19">
        <v>2532.56</v>
      </c>
      <c r="D19">
        <v>1879.21</v>
      </c>
      <c r="E19" s="65">
        <v>1443.52</v>
      </c>
      <c r="F19" s="66">
        <v>1491.32</v>
      </c>
      <c r="G19" s="73">
        <v>1204.71</v>
      </c>
      <c r="H19">
        <v>2312.2199999999998</v>
      </c>
      <c r="I19">
        <v>2385.56</v>
      </c>
      <c r="J19">
        <v>1911.21</v>
      </c>
      <c r="K19" s="65">
        <v>1820.62</v>
      </c>
      <c r="L19" s="66">
        <v>1887.77</v>
      </c>
      <c r="M19" s="73">
        <v>1509.49</v>
      </c>
      <c r="N19" s="36"/>
      <c r="O19" s="36">
        <v>971.65853240859667</v>
      </c>
      <c r="P19" s="36">
        <v>1084.2366640979537</v>
      </c>
      <c r="Q19" s="36">
        <v>804.52521620001721</v>
      </c>
      <c r="R19" s="63">
        <v>1107.0787637088733</v>
      </c>
      <c r="S19" s="64">
        <v>1143.7380167190734</v>
      </c>
      <c r="T19" s="72">
        <v>923.92821535393819</v>
      </c>
      <c r="U19" s="36">
        <v>863.02627650044792</v>
      </c>
      <c r="V19" s="36">
        <v>890.4001194386384</v>
      </c>
      <c r="W19" s="36">
        <v>713.35100029859666</v>
      </c>
      <c r="X19" s="63">
        <v>1645.9813760057859</v>
      </c>
      <c r="Y19" s="64">
        <v>1706.6901726787812</v>
      </c>
      <c r="Z19" s="72">
        <v>1364.6957779585932</v>
      </c>
      <c r="AA19" s="36"/>
      <c r="AB19">
        <v>15906.75</v>
      </c>
      <c r="AC19">
        <v>12473.45</v>
      </c>
      <c r="AD19">
        <v>9823.5300000000007</v>
      </c>
      <c r="AE19" s="65">
        <v>15123.82</v>
      </c>
      <c r="AF19" s="66">
        <v>14235.92</v>
      </c>
      <c r="AG19" s="73">
        <v>12534.46</v>
      </c>
      <c r="AH19">
        <v>4146.8900000000003</v>
      </c>
      <c r="AI19">
        <v>3902.66</v>
      </c>
      <c r="AJ19">
        <f>1799.1+1246.27</f>
        <v>3045.37</v>
      </c>
      <c r="AK19" s="65">
        <f>2732.76+3977.44</f>
        <v>6710.2000000000007</v>
      </c>
      <c r="AL19" s="66">
        <v>7114.07</v>
      </c>
      <c r="AM19" s="73">
        <v>6260.68</v>
      </c>
      <c r="AN19" s="36"/>
      <c r="AO19" s="36">
        <v>7.6783740339732481E-2</v>
      </c>
      <c r="AP19" s="9">
        <v>6.0210800191153831E-2</v>
      </c>
      <c r="AQ19" s="9">
        <v>4.7419326810289486E-2</v>
      </c>
      <c r="AR19" s="63">
        <v>2.3708847498171846E-2</v>
      </c>
      <c r="AS19" s="64">
        <v>2.2316931587137018E-2</v>
      </c>
      <c r="AT19" s="72">
        <v>1.9649638822198032E-2</v>
      </c>
      <c r="AU19" s="36">
        <v>4.3521367700768233E-2</v>
      </c>
      <c r="AV19" s="36">
        <v>4.09581881533101E-2</v>
      </c>
      <c r="AW19" s="36">
        <v>3.1960979807732673E-2</v>
      </c>
      <c r="AX19" s="63">
        <v>3.7701565326830805E-2</v>
      </c>
      <c r="AY19" s="64">
        <v>3.9970727376925752E-2</v>
      </c>
      <c r="AZ19" s="64">
        <v>3.5175916665730243E-2</v>
      </c>
      <c r="BA19" s="36"/>
      <c r="BB19" s="3">
        <v>16.736706399999999</v>
      </c>
      <c r="BC19" s="3">
        <v>12.4787543</v>
      </c>
      <c r="BD19" s="3">
        <v>12.4574607</v>
      </c>
      <c r="BE19" s="104">
        <v>5.1678652100000004</v>
      </c>
      <c r="BF19" s="105">
        <v>4.6252085100000002</v>
      </c>
      <c r="BG19" s="110">
        <v>5.1621273499999996</v>
      </c>
      <c r="BH19" s="3">
        <v>9.4864401100000002</v>
      </c>
      <c r="BI19" s="3">
        <v>8.4886293500000001</v>
      </c>
      <c r="BJ19" s="3">
        <v>8.3964213999999995</v>
      </c>
      <c r="BK19" s="104">
        <v>8.2178860700000005</v>
      </c>
      <c r="BL19" s="105">
        <v>8.28397702</v>
      </c>
      <c r="BM19" s="105">
        <v>9.2410126699999999</v>
      </c>
      <c r="BO19" s="5">
        <v>13.890973799999999</v>
      </c>
      <c r="BP19" s="5">
        <v>4.9850670233333334</v>
      </c>
      <c r="BQ19" s="5">
        <v>8.7904969533333333</v>
      </c>
      <c r="BR19" s="5">
        <v>8.5809585866666662</v>
      </c>
      <c r="BS19" s="5">
        <v>36.247496363333333</v>
      </c>
    </row>
    <row r="20" spans="1:71" x14ac:dyDescent="0.2">
      <c r="A20" s="2" t="s">
        <v>79</v>
      </c>
      <c r="B20">
        <v>4717.32</v>
      </c>
      <c r="C20">
        <v>2724.6</v>
      </c>
      <c r="D20">
        <v>3636.62</v>
      </c>
      <c r="E20" s="65">
        <v>2542.46</v>
      </c>
      <c r="F20" s="66">
        <v>1418.49</v>
      </c>
      <c r="G20" s="73">
        <v>1905.67</v>
      </c>
      <c r="H20">
        <v>4111.63</v>
      </c>
      <c r="I20">
        <v>2264.58</v>
      </c>
      <c r="J20">
        <v>3060.34</v>
      </c>
      <c r="K20" s="65">
        <v>3414.15</v>
      </c>
      <c r="L20" s="66">
        <v>1919.68</v>
      </c>
      <c r="M20" s="73">
        <v>2635.92</v>
      </c>
      <c r="N20" s="36"/>
      <c r="O20" s="36">
        <v>2019.5735936295916</v>
      </c>
      <c r="P20" s="36">
        <v>1166.4526072437709</v>
      </c>
      <c r="Q20" s="36">
        <v>1556.9055569826185</v>
      </c>
      <c r="R20" s="63">
        <v>1949.8887951530025</v>
      </c>
      <c r="S20" s="64">
        <v>1087.8825063271722</v>
      </c>
      <c r="T20" s="72">
        <v>1461.5154536390828</v>
      </c>
      <c r="U20" s="36">
        <v>1534.6484025082116</v>
      </c>
      <c r="V20" s="36">
        <v>845.24484920871907</v>
      </c>
      <c r="W20" s="36">
        <v>1142.2588832487311</v>
      </c>
      <c r="X20" s="63">
        <v>3086.6558177379984</v>
      </c>
      <c r="Y20" s="64">
        <v>1735.539282162553</v>
      </c>
      <c r="Z20" s="72">
        <v>2383.0756712774614</v>
      </c>
      <c r="AA20" s="36"/>
      <c r="AB20">
        <v>14328.72</v>
      </c>
      <c r="AC20">
        <v>10047.41</v>
      </c>
      <c r="AD20">
        <v>10146</v>
      </c>
      <c r="AE20" s="106">
        <v>19170.04</v>
      </c>
      <c r="AF20" s="66">
        <v>11157.78</v>
      </c>
      <c r="AG20" s="73">
        <v>14530.02</v>
      </c>
      <c r="AH20">
        <v>1585.07</v>
      </c>
      <c r="AI20">
        <v>1136.8699999999999</v>
      </c>
      <c r="AJ20">
        <v>1609.85</v>
      </c>
      <c r="AK20" s="65">
        <v>9200.1299999999992</v>
      </c>
      <c r="AL20" s="66">
        <v>6756.97</v>
      </c>
      <c r="AM20" s="73">
        <v>6455.22</v>
      </c>
      <c r="AN20" s="36"/>
      <c r="AO20" s="36">
        <v>6.9166405197839384E-2</v>
      </c>
      <c r="AP20" s="36">
        <v>4.8500021722025652E-2</v>
      </c>
      <c r="AQ20" s="36">
        <v>4.8975927168461553E-2</v>
      </c>
      <c r="AR20" s="63">
        <v>3.0051901893427338E-2</v>
      </c>
      <c r="AS20" s="64">
        <v>1.7491487232600751E-2</v>
      </c>
      <c r="AT20" s="72">
        <v>2.2777977278583512E-2</v>
      </c>
      <c r="AU20" s="36">
        <v>1.6635216825490112E-2</v>
      </c>
      <c r="AV20" s="36">
        <v>1.1931384072876873E-2</v>
      </c>
      <c r="AW20" s="36">
        <v>1.6895281474329372E-2</v>
      </c>
      <c r="AX20" s="63">
        <v>5.169135081075614E-2</v>
      </c>
      <c r="AY20" s="64">
        <v>3.7964344709015517E-2</v>
      </c>
      <c r="AZ20" s="64">
        <v>3.6268948545358518E-2</v>
      </c>
      <c r="BA20" s="36"/>
      <c r="BB20" s="3">
        <v>8.0512494799999992</v>
      </c>
      <c r="BC20" s="3">
        <v>10.0307809</v>
      </c>
      <c r="BD20" s="3">
        <v>7.4843760100000001</v>
      </c>
      <c r="BE20" s="104">
        <v>3.4981629999999999</v>
      </c>
      <c r="BF20" s="105">
        <v>3.6175917000000002</v>
      </c>
      <c r="BG20" s="110">
        <v>3.4808722699999999</v>
      </c>
      <c r="BH20" s="3">
        <v>1.93640656</v>
      </c>
      <c r="BI20" s="3">
        <v>2.46765043</v>
      </c>
      <c r="BJ20" s="3">
        <v>2.58189373</v>
      </c>
      <c r="BK20" s="104">
        <v>6.0170824300000003</v>
      </c>
      <c r="BL20" s="105">
        <v>7.85179078</v>
      </c>
      <c r="BM20" s="105">
        <v>5.5425280199999998</v>
      </c>
      <c r="BO20" s="5">
        <v>8.522135463333333</v>
      </c>
      <c r="BP20" s="5">
        <v>3.5322089899999995</v>
      </c>
      <c r="BQ20" s="5">
        <v>2.32865024</v>
      </c>
      <c r="BR20" s="5">
        <v>6.4704670766666661</v>
      </c>
      <c r="BS20" s="5">
        <v>20.853461769999999</v>
      </c>
    </row>
    <row r="21" spans="1:71" x14ac:dyDescent="0.2">
      <c r="A21" s="2" t="s">
        <v>80</v>
      </c>
      <c r="B21">
        <v>3132.83</v>
      </c>
      <c r="C21">
        <v>1446.51</v>
      </c>
      <c r="D21">
        <v>2763.32</v>
      </c>
      <c r="E21" s="65">
        <v>1595.16</v>
      </c>
      <c r="F21" s="66">
        <v>747.28</v>
      </c>
      <c r="G21" s="73">
        <v>1431.31</v>
      </c>
      <c r="H21">
        <v>2562.6</v>
      </c>
      <c r="I21">
        <v>1176.9000000000001</v>
      </c>
      <c r="J21">
        <v>2300.5700000000002</v>
      </c>
      <c r="K21" s="65">
        <v>2124.42</v>
      </c>
      <c r="L21" s="66">
        <v>979.29</v>
      </c>
      <c r="M21" s="73">
        <v>1872.99</v>
      </c>
      <c r="N21" s="36"/>
      <c r="O21" s="36">
        <v>1341.2235636612725</v>
      </c>
      <c r="P21" s="36">
        <v>619.27819162599542</v>
      </c>
      <c r="Q21" s="36">
        <v>1183.0293689528214</v>
      </c>
      <c r="R21" s="63">
        <v>1223.3760257688473</v>
      </c>
      <c r="S21" s="64">
        <v>573.11143492599126</v>
      </c>
      <c r="T21" s="72">
        <v>1097.7145486617071</v>
      </c>
      <c r="U21" s="36">
        <v>956.47954613317415</v>
      </c>
      <c r="V21" s="36">
        <v>439.27291728874297</v>
      </c>
      <c r="W21" s="36">
        <v>858.6779635712154</v>
      </c>
      <c r="X21" s="63">
        <v>1920.6400867914292</v>
      </c>
      <c r="Y21" s="64">
        <v>885.35394629780296</v>
      </c>
      <c r="Z21" s="72">
        <v>1693.327908868999</v>
      </c>
      <c r="AA21" s="36"/>
      <c r="AB21">
        <v>5549.47</v>
      </c>
      <c r="AC21">
        <f>1654.71+1410.67</f>
        <v>3065.38</v>
      </c>
      <c r="AD21">
        <v>7525.98</v>
      </c>
      <c r="AE21" s="106">
        <v>8839.6200000000008</v>
      </c>
      <c r="AF21" s="66">
        <v>4649.01</v>
      </c>
      <c r="AG21" s="73">
        <v>9911.73</v>
      </c>
      <c r="AH21">
        <v>13013</v>
      </c>
      <c r="AI21">
        <v>5595.26</v>
      </c>
      <c r="AJ21">
        <v>11704.44</v>
      </c>
      <c r="AK21" s="65">
        <v>9772.93</v>
      </c>
      <c r="AL21" s="66">
        <v>3920.39</v>
      </c>
      <c r="AM21" s="73">
        <v>8207.31</v>
      </c>
      <c r="AN21" s="36"/>
      <c r="AO21" s="36">
        <v>2.67879399313584E-2</v>
      </c>
      <c r="AP21" s="36">
        <v>1.4796947331328471E-2</v>
      </c>
      <c r="AQ21" s="36">
        <v>3.6328784580258053E-2</v>
      </c>
      <c r="AR21" s="63">
        <v>1.3857425076587122E-2</v>
      </c>
      <c r="AS21" s="64">
        <v>7.2880177830386703E-3</v>
      </c>
      <c r="AT21" s="72">
        <v>1.5538117685416438E-2</v>
      </c>
      <c r="AU21" s="36">
        <v>0.13657067293564501</v>
      </c>
      <c r="AV21" s="36">
        <v>5.8721926031652744E-2</v>
      </c>
      <c r="AW21" s="36">
        <v>0.122837412367239</v>
      </c>
      <c r="AX21" s="63">
        <v>5.4909653785214237E-2</v>
      </c>
      <c r="AY21" s="64">
        <v>2.2026890359699295E-2</v>
      </c>
      <c r="AZ21" s="64">
        <v>4.6113146273218636E-2</v>
      </c>
      <c r="BA21" s="36"/>
      <c r="BB21" s="3">
        <v>4.92269793</v>
      </c>
      <c r="BC21" s="3">
        <v>5.8787645599999996</v>
      </c>
      <c r="BD21" s="3">
        <v>7.5172078300000003</v>
      </c>
      <c r="BE21" s="104">
        <v>2.546516</v>
      </c>
      <c r="BF21" s="105">
        <v>2.8954986200000001</v>
      </c>
      <c r="BG21" s="110">
        <v>3.2151711500000002</v>
      </c>
      <c r="BH21" s="3">
        <v>25.0969716</v>
      </c>
      <c r="BI21" s="3">
        <v>23.329972699999999</v>
      </c>
      <c r="BJ21" s="3">
        <v>25.4177058</v>
      </c>
      <c r="BK21" s="104">
        <v>10.0904974</v>
      </c>
      <c r="BL21" s="105">
        <v>8.75119033</v>
      </c>
      <c r="BM21" s="105">
        <v>9.5418029600000001</v>
      </c>
      <c r="BO21" s="5">
        <v>6.1062234399999999</v>
      </c>
      <c r="BP21" s="5">
        <v>2.8857285899999998</v>
      </c>
      <c r="BQ21" s="5">
        <v>24.614883366666664</v>
      </c>
      <c r="BR21" s="5">
        <v>9.4611635633333346</v>
      </c>
      <c r="BS21" s="5">
        <v>43.067998960000004</v>
      </c>
    </row>
    <row r="22" spans="1:71" x14ac:dyDescent="0.2">
      <c r="A22" s="2" t="s">
        <v>81</v>
      </c>
      <c r="B22">
        <v>3315.12</v>
      </c>
      <c r="C22">
        <v>2888.17</v>
      </c>
      <c r="D22">
        <v>3286.21</v>
      </c>
      <c r="E22" s="65">
        <v>1699.91</v>
      </c>
      <c r="F22" s="66">
        <v>1549.94</v>
      </c>
      <c r="G22" s="73">
        <v>1622.62</v>
      </c>
      <c r="H22">
        <v>2710.73</v>
      </c>
      <c r="I22">
        <v>2488.66</v>
      </c>
      <c r="J22">
        <v>2601.5300000000002</v>
      </c>
      <c r="K22" s="65">
        <v>2313.09</v>
      </c>
      <c r="L22" s="66">
        <v>2117.4499999999998</v>
      </c>
      <c r="M22" s="73">
        <v>2258.38</v>
      </c>
      <c r="N22" s="36"/>
      <c r="O22" s="36">
        <v>1419.2653480606216</v>
      </c>
      <c r="P22" s="36">
        <v>1236.4800068499017</v>
      </c>
      <c r="Q22" s="36">
        <v>1406.8884322287868</v>
      </c>
      <c r="R22" s="63">
        <v>1303.7119410997775</v>
      </c>
      <c r="S22" s="64">
        <v>1188.6954521052228</v>
      </c>
      <c r="T22" s="72">
        <v>1244.4359230002299</v>
      </c>
      <c r="U22" s="36">
        <v>1011.768438339803</v>
      </c>
      <c r="V22" s="36">
        <v>928.88175574798447</v>
      </c>
      <c r="W22" s="36">
        <v>971.01000298596614</v>
      </c>
      <c r="X22" s="63">
        <v>2091.2123677786817</v>
      </c>
      <c r="Y22" s="64">
        <v>1914.3386673899283</v>
      </c>
      <c r="Z22" s="72">
        <v>2041.7502938251514</v>
      </c>
      <c r="AA22" s="36"/>
      <c r="AB22">
        <v>4388.0200000000004</v>
      </c>
      <c r="AC22">
        <f>2475.41+1956.38</f>
        <v>4431.79</v>
      </c>
      <c r="AD22">
        <v>4442.7700000000004</v>
      </c>
      <c r="AE22" s="106">
        <f>7188.19+7355</f>
        <v>14543.189999999999</v>
      </c>
      <c r="AF22" s="66">
        <v>14978.24</v>
      </c>
      <c r="AG22" s="73">
        <v>12176.2</v>
      </c>
      <c r="AH22">
        <v>3231.6</v>
      </c>
      <c r="AI22">
        <v>3246.21</v>
      </c>
      <c r="AJ22">
        <v>2035.65</v>
      </c>
      <c r="AK22" s="65">
        <v>4670.88</v>
      </c>
      <c r="AL22" s="66">
        <v>4716.57</v>
      </c>
      <c r="AM22" s="73">
        <v>5188.53</v>
      </c>
      <c r="AN22" s="36"/>
      <c r="AO22" s="36">
        <v>2.1181485110758198E-2</v>
      </c>
      <c r="AP22" s="36">
        <v>2.1392768013593161E-2</v>
      </c>
      <c r="AQ22" s="36">
        <v>2.1445769756182332E-2</v>
      </c>
      <c r="AR22" s="63">
        <v>2.2798623221311664E-2</v>
      </c>
      <c r="AS22" s="64">
        <v>2.3480629097081127E-2</v>
      </c>
      <c r="AT22" s="72">
        <v>1.908801274461347E-2</v>
      </c>
      <c r="AU22" s="36">
        <v>3.3915452751773642E-2</v>
      </c>
      <c r="AV22" s="36">
        <v>3.406878384618614E-2</v>
      </c>
      <c r="AW22" s="36">
        <v>2.1364027538726335E-2</v>
      </c>
      <c r="AX22" s="63">
        <v>2.6243552718814261E-2</v>
      </c>
      <c r="AY22" s="64">
        <v>2.6500264071647694E-2</v>
      </c>
      <c r="AZ22" s="64">
        <v>2.915199289815824E-2</v>
      </c>
      <c r="BA22" s="36"/>
      <c r="BB22" s="3">
        <v>3.63570846</v>
      </c>
      <c r="BC22" s="3">
        <v>4.0605847600000002</v>
      </c>
      <c r="BD22" s="3">
        <v>3.7862728200000002</v>
      </c>
      <c r="BE22" s="104">
        <v>3.9132830799999998</v>
      </c>
      <c r="BF22" s="105">
        <v>4.4568839599999999</v>
      </c>
      <c r="BG22" s="110">
        <v>3.3700083799999998</v>
      </c>
      <c r="BH22" s="3">
        <v>5.8214378099999999</v>
      </c>
      <c r="BI22" s="3">
        <v>6.4666332200000003</v>
      </c>
      <c r="BJ22" s="3">
        <v>3.7718411399999998</v>
      </c>
      <c r="BK22" s="104">
        <v>4.5045900200000002</v>
      </c>
      <c r="BL22" s="105">
        <v>5.0300441899999999</v>
      </c>
      <c r="BM22" s="105">
        <v>5.1468144799999997</v>
      </c>
      <c r="BO22" s="5">
        <v>3.8275220133333332</v>
      </c>
      <c r="BP22" s="5">
        <v>3.9133918066666666</v>
      </c>
      <c r="BQ22" s="5">
        <v>5.3533040566666665</v>
      </c>
      <c r="BR22" s="5">
        <v>4.8938162299999997</v>
      </c>
      <c r="BS22" s="5">
        <v>17.988034106666664</v>
      </c>
    </row>
    <row r="23" spans="1:71" x14ac:dyDescent="0.2">
      <c r="A23" s="2" t="s">
        <v>82</v>
      </c>
      <c r="B23">
        <v>3200.12</v>
      </c>
      <c r="C23">
        <v>2366.54</v>
      </c>
      <c r="D23">
        <v>3458.21</v>
      </c>
      <c r="E23" s="65">
        <v>1825.85</v>
      </c>
      <c r="F23" s="66">
        <v>1294.6199999999999</v>
      </c>
      <c r="G23" s="73">
        <v>1865.99</v>
      </c>
      <c r="H23">
        <v>2935.49</v>
      </c>
      <c r="I23">
        <v>2059.46</v>
      </c>
      <c r="J23">
        <v>2991.67</v>
      </c>
      <c r="K23" s="63">
        <v>2368.2399999999998</v>
      </c>
      <c r="L23" s="64">
        <v>1688.52</v>
      </c>
      <c r="M23" s="72">
        <v>2404.71</v>
      </c>
      <c r="N23" s="36"/>
      <c r="O23" s="36">
        <v>1370.0316807945885</v>
      </c>
      <c r="P23" s="36">
        <v>1013.1603733196335</v>
      </c>
      <c r="Q23" s="36">
        <v>1480.5248737049405</v>
      </c>
      <c r="R23" s="63">
        <v>1400.2991026919242</v>
      </c>
      <c r="S23" s="64">
        <v>992.88288979216179</v>
      </c>
      <c r="T23" s="72">
        <v>1431.0836720607408</v>
      </c>
      <c r="U23" s="36">
        <v>1095.6591519856674</v>
      </c>
      <c r="V23" s="36">
        <v>768.68468199462529</v>
      </c>
      <c r="W23" s="36">
        <v>1116.6280979396836</v>
      </c>
      <c r="X23" s="63">
        <v>2141.0722357833829</v>
      </c>
      <c r="Y23" s="64">
        <v>1526.5527529156495</v>
      </c>
      <c r="Z23" s="72">
        <v>2174.0439381611063</v>
      </c>
      <c r="AA23" s="36"/>
      <c r="AB23" s="21">
        <v>9446.91</v>
      </c>
      <c r="AC23">
        <v>6876.1900000000005</v>
      </c>
      <c r="AD23">
        <v>10932.79</v>
      </c>
      <c r="AE23" s="65">
        <v>18522.23</v>
      </c>
      <c r="AF23" s="66">
        <v>14403.96</v>
      </c>
      <c r="AG23" s="73">
        <v>19076.63</v>
      </c>
      <c r="AH23">
        <v>4452.17</v>
      </c>
      <c r="AI23">
        <v>2803.3</v>
      </c>
      <c r="AJ23">
        <v>5052.6899999999996</v>
      </c>
      <c r="AK23" s="63">
        <v>8573.86</v>
      </c>
      <c r="AL23" s="64">
        <v>6470.13</v>
      </c>
      <c r="AM23" s="72">
        <v>9334.4699999999993</v>
      </c>
      <c r="AN23" s="36"/>
      <c r="AO23" s="36">
        <v>4.5601338076780122E-2</v>
      </c>
      <c r="AP23" s="36">
        <v>3.3192172347378639E-2</v>
      </c>
      <c r="AQ23" s="36">
        <v>5.2773854404502739E-2</v>
      </c>
      <c r="AR23" s="63">
        <v>2.9036362929211239E-2</v>
      </c>
      <c r="AS23" s="64">
        <v>2.2580359393973702E-2</v>
      </c>
      <c r="AT23" s="72">
        <v>2.9905467762050199E-2</v>
      </c>
      <c r="AU23" s="36">
        <v>4.67252634230301E-2</v>
      </c>
      <c r="AV23" s="36">
        <v>2.9420469333781119E-2</v>
      </c>
      <c r="AW23" s="36">
        <v>5.3027685655514037E-2</v>
      </c>
      <c r="AX23" s="63">
        <v>4.8172624197952603E-2</v>
      </c>
      <c r="AY23" s="64">
        <v>3.6352721061680394E-2</v>
      </c>
      <c r="AZ23" s="64">
        <v>5.2446146239507364E-2</v>
      </c>
      <c r="BA23" s="36"/>
      <c r="BB23" s="3">
        <v>7.5912878499999996</v>
      </c>
      <c r="BC23" s="3">
        <v>7.7168115000000004</v>
      </c>
      <c r="BD23" s="3">
        <v>8.5087821699999999</v>
      </c>
      <c r="BE23" s="104">
        <v>4.8337044100000002</v>
      </c>
      <c r="BF23" s="105">
        <v>5.2496828200000003</v>
      </c>
      <c r="BG23" s="110">
        <v>4.8216889500000004</v>
      </c>
      <c r="BH23" s="3">
        <v>7.77838852</v>
      </c>
      <c r="BI23" s="3">
        <v>6.8399324300000002</v>
      </c>
      <c r="BJ23" s="3">
        <v>8.5497076399999994</v>
      </c>
      <c r="BK23" s="104">
        <v>8.0193317200000003</v>
      </c>
      <c r="BL23" s="105">
        <v>8.4516039799999998</v>
      </c>
      <c r="BM23" s="105">
        <v>8.4559454499999998</v>
      </c>
      <c r="BO23" s="5">
        <v>7.9389605066666666</v>
      </c>
      <c r="BP23" s="5">
        <v>4.9683587266666667</v>
      </c>
      <c r="BQ23" s="5">
        <v>7.7226761966666659</v>
      </c>
      <c r="BR23" s="5">
        <v>8.3089603833333339</v>
      </c>
      <c r="BS23" s="5">
        <v>28.93895581333333</v>
      </c>
    </row>
    <row r="24" spans="1:71" x14ac:dyDescent="0.2">
      <c r="A24" s="2" t="s">
        <v>83</v>
      </c>
      <c r="B24">
        <v>3737.42</v>
      </c>
      <c r="C24">
        <v>4386.79</v>
      </c>
      <c r="D24">
        <v>4593.54</v>
      </c>
      <c r="E24" s="65">
        <v>1899.91</v>
      </c>
      <c r="F24" s="66">
        <v>2177.04</v>
      </c>
      <c r="G24" s="73">
        <v>2308.84</v>
      </c>
      <c r="H24">
        <v>3066.54</v>
      </c>
      <c r="I24">
        <v>3476.67</v>
      </c>
      <c r="J24">
        <v>3811.15</v>
      </c>
      <c r="K24" s="65">
        <v>2577.34</v>
      </c>
      <c r="L24" s="66">
        <v>2907.44</v>
      </c>
      <c r="M24" s="73">
        <v>3171.69</v>
      </c>
      <c r="N24" s="36"/>
      <c r="O24" s="36">
        <v>1600.059936638411</v>
      </c>
      <c r="P24" s="36">
        <v>1878.0674715300968</v>
      </c>
      <c r="Q24" s="36">
        <v>1966.5810428975085</v>
      </c>
      <c r="R24" s="63">
        <v>1457.0979369583556</v>
      </c>
      <c r="S24" s="64">
        <v>1669.6372421197943</v>
      </c>
      <c r="T24" s="72">
        <v>1770.7186133905975</v>
      </c>
      <c r="U24" s="36">
        <v>1144.5730068677217</v>
      </c>
      <c r="V24" s="36">
        <v>1297.6522842639595</v>
      </c>
      <c r="W24" s="36">
        <v>1422.4955210510602</v>
      </c>
      <c r="X24" s="63">
        <v>2330.1148178284061</v>
      </c>
      <c r="Y24" s="64">
        <v>2628.5507639453936</v>
      </c>
      <c r="Z24" s="72">
        <v>2867.4532139951179</v>
      </c>
      <c r="AA24" s="36"/>
      <c r="AB24">
        <f>4707.42+3608.1</f>
        <v>8315.52</v>
      </c>
      <c r="AC24">
        <v>5114.51</v>
      </c>
      <c r="AD24">
        <v>5267.85</v>
      </c>
      <c r="AE24" s="106">
        <v>23851.54</v>
      </c>
      <c r="AF24" s="66">
        <v>25291.58</v>
      </c>
      <c r="AG24" s="73">
        <v>26450.65</v>
      </c>
      <c r="AH24">
        <f>934.36+1159.08</f>
        <v>2093.44</v>
      </c>
      <c r="AI24">
        <v>2109.81</v>
      </c>
      <c r="AJ24">
        <v>2023.03</v>
      </c>
      <c r="AK24" s="65">
        <v>7644.19</v>
      </c>
      <c r="AL24" s="66">
        <v>9324.24</v>
      </c>
      <c r="AM24" s="73">
        <v>8920.77</v>
      </c>
      <c r="AN24" s="36"/>
      <c r="AO24" s="36">
        <v>4.0139986387530593E-2</v>
      </c>
      <c r="AP24" s="36">
        <v>2.4688337203071977E-2</v>
      </c>
      <c r="AQ24" s="36">
        <v>2.5428527294932012E-2</v>
      </c>
      <c r="AR24" s="63">
        <v>3.7390852605793098E-2</v>
      </c>
      <c r="AS24" s="64">
        <v>3.9648330462000551E-2</v>
      </c>
      <c r="AT24" s="72">
        <v>4.1465345863513269E-2</v>
      </c>
      <c r="AU24" s="36">
        <v>2.1970530204441459E-2</v>
      </c>
      <c r="AV24" s="36">
        <v>2.2142332395785232E-2</v>
      </c>
      <c r="AW24" s="36">
        <v>2.1231581377775911E-2</v>
      </c>
      <c r="AX24" s="63">
        <v>4.2949230821094267E-2</v>
      </c>
      <c r="AY24" s="64">
        <v>5.2388668517041048E-2</v>
      </c>
      <c r="AZ24" s="64">
        <v>5.012175388522435E-2</v>
      </c>
      <c r="BA24" s="36"/>
      <c r="BB24" s="3">
        <v>6.1452747399999996</v>
      </c>
      <c r="BC24" s="3">
        <v>3.3032702600000001</v>
      </c>
      <c r="BD24" s="3">
        <v>3.1677763099999998</v>
      </c>
      <c r="BE24" s="104">
        <v>5.7243931200000002</v>
      </c>
      <c r="BF24" s="105">
        <v>5.3048996199999996</v>
      </c>
      <c r="BG24" s="110">
        <v>5.1655740400000001</v>
      </c>
      <c r="BH24" s="3">
        <v>3.3636021500000002</v>
      </c>
      <c r="BI24" s="3">
        <v>2.9626178300000001</v>
      </c>
      <c r="BJ24" s="3">
        <v>2.6449388800000002</v>
      </c>
      <c r="BK24" s="104">
        <v>6.5753590600000003</v>
      </c>
      <c r="BL24" s="105">
        <v>7.0095417500000003</v>
      </c>
      <c r="BM24" s="105">
        <v>6.24395203</v>
      </c>
      <c r="BO24" s="5">
        <v>4.2054404366666667</v>
      </c>
      <c r="BP24" s="5">
        <v>5.398288926666666</v>
      </c>
      <c r="BQ24" s="5">
        <v>2.9903862866666668</v>
      </c>
      <c r="BR24" s="5">
        <v>6.6096176133333335</v>
      </c>
      <c r="BS24" s="5">
        <v>19.203733263333334</v>
      </c>
    </row>
    <row r="25" spans="1:71" x14ac:dyDescent="0.2">
      <c r="E25" s="36"/>
      <c r="F25" s="36"/>
      <c r="G25" s="36"/>
      <c r="H25" s="36"/>
      <c r="I25" s="36"/>
      <c r="J25" s="36"/>
      <c r="K25" s="36"/>
      <c r="L25" s="36"/>
      <c r="M25" s="36"/>
      <c r="N25" s="36"/>
      <c r="O25" s="36"/>
      <c r="P25" s="36"/>
      <c r="Q25" s="36"/>
      <c r="R25" s="36"/>
      <c r="S25" s="36"/>
      <c r="T25" s="36"/>
      <c r="U25" s="36"/>
      <c r="V25" s="36"/>
      <c r="W25" s="36"/>
      <c r="X25" s="36"/>
      <c r="Y25" s="36"/>
      <c r="Z25" s="36"/>
      <c r="AA25" s="36"/>
      <c r="AB25" s="21"/>
      <c r="AE25" s="36"/>
      <c r="AF25" s="36"/>
      <c r="AG25" s="36"/>
      <c r="AH25" s="36"/>
      <c r="AI25" s="36"/>
      <c r="AJ25" s="36"/>
      <c r="AK25" s="36"/>
      <c r="AL25" s="36"/>
      <c r="AM25" s="36"/>
      <c r="AN25" s="36"/>
      <c r="AO25" s="36"/>
      <c r="AP25" s="36"/>
      <c r="AQ25" s="36"/>
      <c r="AR25" s="36"/>
      <c r="AS25" s="36"/>
      <c r="AT25" s="36"/>
      <c r="AU25" s="36"/>
      <c r="AV25" s="36"/>
      <c r="AW25" s="36"/>
      <c r="AX25" s="36"/>
      <c r="AY25" s="36"/>
      <c r="AZ25" s="36"/>
      <c r="BA25" s="36"/>
    </row>
    <row r="26" spans="1:71" x14ac:dyDescent="0.2">
      <c r="E26" s="36"/>
      <c r="F26" s="36"/>
      <c r="G26" s="36"/>
      <c r="H26" s="36"/>
      <c r="I26" s="36"/>
      <c r="J26" s="36"/>
      <c r="K26" s="36"/>
      <c r="L26" s="36"/>
      <c r="M26" s="36"/>
      <c r="N26" s="36"/>
      <c r="O26" s="36"/>
      <c r="P26" s="36"/>
      <c r="Q26" s="36"/>
      <c r="R26" s="36"/>
      <c r="S26" s="36"/>
      <c r="T26" s="36"/>
      <c r="U26" s="36"/>
      <c r="V26" s="36"/>
      <c r="W26" s="36"/>
      <c r="X26" s="36"/>
      <c r="Y26" s="36"/>
      <c r="Z26" s="36"/>
      <c r="AA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row>
    <row r="27" spans="1:71" x14ac:dyDescent="0.2">
      <c r="E27" s="36"/>
      <c r="F27" s="36"/>
      <c r="G27" s="36"/>
      <c r="H27" s="36"/>
      <c r="I27" s="36"/>
      <c r="J27" s="36"/>
      <c r="K27" s="36"/>
      <c r="L27" s="36"/>
      <c r="M27" s="36"/>
      <c r="N27" s="36"/>
      <c r="O27" s="36"/>
      <c r="P27" s="36"/>
      <c r="Q27" s="36"/>
      <c r="R27" s="36"/>
      <c r="S27" s="36"/>
      <c r="T27" s="36"/>
      <c r="U27" s="36"/>
      <c r="V27" s="36"/>
      <c r="W27" s="36"/>
      <c r="X27" s="36"/>
      <c r="Y27" s="36"/>
      <c r="Z27" s="36"/>
      <c r="AA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row>
    <row r="28" spans="1:71" x14ac:dyDescent="0.2">
      <c r="B28" s="36"/>
      <c r="C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row>
    <row r="29" spans="1:71" x14ac:dyDescent="0.2">
      <c r="B29" s="36"/>
      <c r="C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row>
    <row r="30" spans="1:71" x14ac:dyDescent="0.2">
      <c r="B30" s="36"/>
      <c r="C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row>
    <row r="31" spans="1:71" x14ac:dyDescent="0.2">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row>
    <row r="32" spans="1:71" x14ac:dyDescent="0.2">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row>
    <row r="33" spans="2:53" x14ac:dyDescent="0.2">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row>
    <row r="34" spans="2:53" x14ac:dyDescent="0.2">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row>
    <row r="35" spans="2:53" x14ac:dyDescent="0.2">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row>
    <row r="36" spans="2:53" x14ac:dyDescent="0.2">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row>
    <row r="37" spans="2:53" x14ac:dyDescent="0.2">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row>
    <row r="38" spans="2:53" x14ac:dyDescent="0.2">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row>
    <row r="39" spans="2:53" x14ac:dyDescent="0.2">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row>
    <row r="40" spans="2:53" x14ac:dyDescent="0.2">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row>
    <row r="41" spans="2:53" x14ac:dyDescent="0.2">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row>
    <row r="42" spans="2:53" x14ac:dyDescent="0.2">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row>
    <row r="43" spans="2:53" x14ac:dyDescent="0.2">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row>
    <row r="44" spans="2:53" x14ac:dyDescent="0.2">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row>
    <row r="45" spans="2:53" x14ac:dyDescent="0.2">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row>
    <row r="46" spans="2:53" x14ac:dyDescent="0.2">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row>
    <row r="47" spans="2:53" x14ac:dyDescent="0.2">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row>
    <row r="48" spans="2:53" x14ac:dyDescent="0.2">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row>
    <row r="49" spans="2:53" x14ac:dyDescent="0.2">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row>
    <row r="50" spans="2:53" x14ac:dyDescent="0.2">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row>
    <row r="51" spans="2:53" x14ac:dyDescent="0.2">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row>
    <row r="52" spans="2:53" x14ac:dyDescent="0.2">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row>
    <row r="53" spans="2:53" x14ac:dyDescent="0.2">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row>
    <row r="54" spans="2:53" x14ac:dyDescent="0.2">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row>
    <row r="55" spans="2:53" x14ac:dyDescent="0.2">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row>
    <row r="56" spans="2:53" x14ac:dyDescent="0.2">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row>
    <row r="57" spans="2:53" x14ac:dyDescent="0.2">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row>
    <row r="58" spans="2:53" x14ac:dyDescent="0.2">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row>
    <row r="59" spans="2:53" x14ac:dyDescent="0.2">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row>
    <row r="60" spans="2:53" x14ac:dyDescent="0.2">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row>
    <row r="61" spans="2:53" x14ac:dyDescent="0.2">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row>
    <row r="62" spans="2:53" x14ac:dyDescent="0.2">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row>
    <row r="63" spans="2:53" x14ac:dyDescent="0.2">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row>
    <row r="64" spans="2:53" x14ac:dyDescent="0.2">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row>
    <row r="65" spans="2:53" x14ac:dyDescent="0.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row>
    <row r="69" spans="2:53" x14ac:dyDescent="0.2">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row>
  </sheetData>
  <mergeCells count="27">
    <mergeCell ref="BB4:BM4"/>
    <mergeCell ref="BO4:BS4"/>
    <mergeCell ref="A1:BS1"/>
    <mergeCell ref="BB5:BD5"/>
    <mergeCell ref="BE5:BG5"/>
    <mergeCell ref="BH5:BJ5"/>
    <mergeCell ref="BK5:BM5"/>
    <mergeCell ref="B4:M4"/>
    <mergeCell ref="O4:Z4"/>
    <mergeCell ref="B5:D5"/>
    <mergeCell ref="E5:G5"/>
    <mergeCell ref="H5:J5"/>
    <mergeCell ref="K5:M5"/>
    <mergeCell ref="O5:Q5"/>
    <mergeCell ref="R5:T5"/>
    <mergeCell ref="U5:W5"/>
    <mergeCell ref="X5:Z5"/>
    <mergeCell ref="AB5:AD5"/>
    <mergeCell ref="AE5:AG5"/>
    <mergeCell ref="AB4:AM4"/>
    <mergeCell ref="AX5:AZ5"/>
    <mergeCell ref="AO4:AZ4"/>
    <mergeCell ref="AH5:AJ5"/>
    <mergeCell ref="AO5:AQ5"/>
    <mergeCell ref="AR5:AT5"/>
    <mergeCell ref="AU5:AW5"/>
    <mergeCell ref="AK5:AM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0AF6D-596C-D647-A9DA-5BBE94EBCB3A}">
  <dimension ref="A1:BI69"/>
  <sheetViews>
    <sheetView topLeftCell="A2" workbookViewId="0">
      <selection activeCell="BF5" sqref="BF5:BI5"/>
    </sheetView>
  </sheetViews>
  <sheetFormatPr baseColWidth="10" defaultRowHeight="16" x14ac:dyDescent="0.2"/>
  <sheetData>
    <row r="1" spans="1:61" s="15" customFormat="1" ht="15" x14ac:dyDescent="0.2">
      <c r="A1" s="43" t="s">
        <v>139</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row>
    <row r="2" spans="1:61" s="15" customFormat="1" x14ac:dyDescent="0.2">
      <c r="A2" s="29"/>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s="29"/>
      <c r="AW2" s="29"/>
      <c r="AX2" s="29"/>
      <c r="AY2" s="29"/>
      <c r="AZ2" s="29"/>
      <c r="BA2" s="29"/>
      <c r="BB2" s="29"/>
      <c r="BC2" s="29"/>
      <c r="BD2" s="29"/>
      <c r="BE2" s="29"/>
      <c r="BF2" s="29"/>
      <c r="BG2" s="29"/>
      <c r="BH2" s="29"/>
      <c r="BI2" s="29"/>
    </row>
    <row r="3" spans="1:61" s="15" customFormat="1" ht="15" x14ac:dyDescent="0.2">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row>
    <row r="4" spans="1:61" x14ac:dyDescent="0.2">
      <c r="B4" s="56" t="s">
        <v>144</v>
      </c>
      <c r="C4" s="56"/>
      <c r="D4" s="56"/>
      <c r="E4" s="56"/>
      <c r="F4" s="56"/>
      <c r="G4" s="56"/>
      <c r="H4" s="56"/>
      <c r="I4" s="56"/>
      <c r="J4" s="56"/>
      <c r="K4" s="56"/>
      <c r="L4" s="56"/>
      <c r="M4" s="56"/>
      <c r="N4" s="5"/>
      <c r="O4" s="56" t="s">
        <v>147</v>
      </c>
      <c r="P4" s="56"/>
      <c r="Q4" s="56"/>
      <c r="R4" s="56"/>
      <c r="S4" s="56"/>
      <c r="T4" s="56"/>
      <c r="U4" s="56"/>
      <c r="V4" s="56"/>
      <c r="W4" s="56"/>
      <c r="X4" s="56"/>
      <c r="Y4" s="56"/>
      <c r="Z4" s="56"/>
      <c r="AA4" s="5"/>
      <c r="AB4" s="56" t="s">
        <v>145</v>
      </c>
      <c r="AC4" s="56"/>
      <c r="AD4" s="56"/>
      <c r="AE4" s="56"/>
      <c r="AF4" s="56"/>
      <c r="AG4" s="56"/>
      <c r="AH4" s="56"/>
      <c r="AI4" s="56"/>
      <c r="AJ4" s="56"/>
      <c r="AK4" s="5"/>
      <c r="AL4" s="56" t="s">
        <v>146</v>
      </c>
      <c r="AM4" s="56"/>
      <c r="AN4" s="56"/>
      <c r="AO4" s="56"/>
      <c r="AP4" s="56"/>
      <c r="AQ4" s="56"/>
      <c r="AR4" s="56"/>
      <c r="AS4" s="56"/>
      <c r="AT4" s="56"/>
      <c r="AU4" s="19"/>
      <c r="AV4" s="114" t="s">
        <v>151</v>
      </c>
      <c r="AW4" s="114"/>
      <c r="AX4" s="114"/>
      <c r="AY4" s="114"/>
      <c r="AZ4" s="114"/>
      <c r="BA4" s="114"/>
      <c r="BB4" s="114"/>
      <c r="BC4" s="114"/>
      <c r="BD4" s="114"/>
      <c r="BF4" s="56" t="s">
        <v>150</v>
      </c>
      <c r="BG4" s="56"/>
      <c r="BH4" s="56"/>
      <c r="BI4" s="56"/>
    </row>
    <row r="5" spans="1:61" x14ac:dyDescent="0.2">
      <c r="B5" s="111" t="s">
        <v>95</v>
      </c>
      <c r="C5" s="111"/>
      <c r="D5" s="111"/>
      <c r="E5" s="112" t="s">
        <v>96</v>
      </c>
      <c r="F5" s="111"/>
      <c r="G5" s="113"/>
      <c r="H5" s="111" t="s">
        <v>97</v>
      </c>
      <c r="I5" s="111"/>
      <c r="J5" s="111"/>
      <c r="K5" s="112" t="s">
        <v>98</v>
      </c>
      <c r="L5" s="111"/>
      <c r="M5" s="111"/>
      <c r="O5" s="92" t="s">
        <v>95</v>
      </c>
      <c r="P5" s="92"/>
      <c r="Q5" s="92"/>
      <c r="R5" s="93" t="s">
        <v>96</v>
      </c>
      <c r="S5" s="92"/>
      <c r="T5" s="95"/>
      <c r="U5" s="92" t="s">
        <v>97</v>
      </c>
      <c r="V5" s="92"/>
      <c r="W5" s="92"/>
      <c r="X5" s="93" t="s">
        <v>98</v>
      </c>
      <c r="Y5" s="92"/>
      <c r="Z5" s="92"/>
      <c r="AB5" s="97" t="s">
        <v>2</v>
      </c>
      <c r="AC5" s="97"/>
      <c r="AD5" s="97"/>
      <c r="AE5" s="98" t="s">
        <v>3</v>
      </c>
      <c r="AF5" s="97"/>
      <c r="AG5" s="107"/>
      <c r="AH5" s="97" t="s">
        <v>72</v>
      </c>
      <c r="AI5" s="97"/>
      <c r="AJ5" s="97"/>
      <c r="AL5" s="97" t="s">
        <v>2</v>
      </c>
      <c r="AM5" s="97"/>
      <c r="AN5" s="97"/>
      <c r="AO5" s="98" t="s">
        <v>3</v>
      </c>
      <c r="AP5" s="97"/>
      <c r="AQ5" s="107"/>
      <c r="AR5" s="97" t="s">
        <v>72</v>
      </c>
      <c r="AS5" s="97"/>
      <c r="AT5" s="97"/>
      <c r="AU5" s="1"/>
      <c r="AV5" s="92" t="s">
        <v>2</v>
      </c>
      <c r="AW5" s="92"/>
      <c r="AX5" s="92"/>
      <c r="AY5" s="93" t="s">
        <v>3</v>
      </c>
      <c r="AZ5" s="92"/>
      <c r="BA5" s="95"/>
      <c r="BB5" s="92" t="s">
        <v>72</v>
      </c>
      <c r="BC5" s="92"/>
      <c r="BD5" s="92"/>
      <c r="BF5" s="101" t="s">
        <v>2</v>
      </c>
      <c r="BG5" s="101" t="s">
        <v>3</v>
      </c>
      <c r="BH5" s="101" t="s">
        <v>72</v>
      </c>
      <c r="BI5" s="101" t="s">
        <v>84</v>
      </c>
    </row>
    <row r="6" spans="1:61" x14ac:dyDescent="0.2">
      <c r="B6" s="88" t="s">
        <v>5</v>
      </c>
      <c r="C6" s="88" t="s">
        <v>6</v>
      </c>
      <c r="D6" s="88" t="s">
        <v>7</v>
      </c>
      <c r="E6" s="94" t="s">
        <v>5</v>
      </c>
      <c r="F6" s="88" t="s">
        <v>6</v>
      </c>
      <c r="G6" s="96" t="s">
        <v>7</v>
      </c>
      <c r="H6" s="88" t="s">
        <v>5</v>
      </c>
      <c r="I6" s="88" t="s">
        <v>6</v>
      </c>
      <c r="J6" s="88" t="s">
        <v>7</v>
      </c>
      <c r="K6" s="94" t="s">
        <v>5</v>
      </c>
      <c r="L6" s="88" t="s">
        <v>6</v>
      </c>
      <c r="M6" s="88" t="s">
        <v>7</v>
      </c>
      <c r="O6" s="88" t="s">
        <v>5</v>
      </c>
      <c r="P6" s="88" t="s">
        <v>6</v>
      </c>
      <c r="Q6" s="88" t="s">
        <v>7</v>
      </c>
      <c r="R6" s="94" t="s">
        <v>5</v>
      </c>
      <c r="S6" s="88" t="s">
        <v>6</v>
      </c>
      <c r="T6" s="96" t="s">
        <v>7</v>
      </c>
      <c r="U6" s="88" t="s">
        <v>5</v>
      </c>
      <c r="V6" s="88" t="s">
        <v>6</v>
      </c>
      <c r="W6" s="88" t="s">
        <v>7</v>
      </c>
      <c r="X6" s="94" t="s">
        <v>5</v>
      </c>
      <c r="Y6" s="88" t="s">
        <v>6</v>
      </c>
      <c r="Z6" s="88" t="s">
        <v>7</v>
      </c>
      <c r="AB6" s="88" t="s">
        <v>5</v>
      </c>
      <c r="AC6" s="88" t="s">
        <v>6</v>
      </c>
      <c r="AD6" s="88" t="s">
        <v>7</v>
      </c>
      <c r="AE6" s="94" t="s">
        <v>5</v>
      </c>
      <c r="AF6" s="88" t="s">
        <v>6</v>
      </c>
      <c r="AG6" s="96" t="s">
        <v>7</v>
      </c>
      <c r="AH6" s="88" t="s">
        <v>5</v>
      </c>
      <c r="AI6" s="88" t="s">
        <v>6</v>
      </c>
      <c r="AJ6" s="88" t="s">
        <v>7</v>
      </c>
      <c r="AL6" s="88" t="s">
        <v>5</v>
      </c>
      <c r="AM6" s="88" t="s">
        <v>6</v>
      </c>
      <c r="AN6" s="88" t="s">
        <v>7</v>
      </c>
      <c r="AO6" s="94" t="s">
        <v>5</v>
      </c>
      <c r="AP6" s="88" t="s">
        <v>6</v>
      </c>
      <c r="AQ6" s="96" t="s">
        <v>7</v>
      </c>
      <c r="AR6" s="88" t="s">
        <v>5</v>
      </c>
      <c r="AS6" s="88" t="s">
        <v>6</v>
      </c>
      <c r="AT6" s="88" t="s">
        <v>7</v>
      </c>
      <c r="AU6" s="1"/>
      <c r="AV6" s="101" t="s">
        <v>5</v>
      </c>
      <c r="AW6" s="101" t="s">
        <v>6</v>
      </c>
      <c r="AX6" s="101" t="s">
        <v>7</v>
      </c>
      <c r="AY6" s="103" t="s">
        <v>5</v>
      </c>
      <c r="AZ6" s="101" t="s">
        <v>6</v>
      </c>
      <c r="BA6" s="109" t="s">
        <v>7</v>
      </c>
      <c r="BB6" s="101" t="s">
        <v>5</v>
      </c>
      <c r="BC6" s="101" t="s">
        <v>6</v>
      </c>
      <c r="BD6" s="101" t="s">
        <v>7</v>
      </c>
    </row>
    <row r="7" spans="1:61" x14ac:dyDescent="0.2">
      <c r="A7" s="2" t="s">
        <v>85</v>
      </c>
      <c r="B7">
        <v>3118.47</v>
      </c>
      <c r="C7">
        <v>3029.92</v>
      </c>
      <c r="D7">
        <v>2921</v>
      </c>
      <c r="E7" s="65">
        <v>1610.95</v>
      </c>
      <c r="F7" s="66">
        <v>1546.59</v>
      </c>
      <c r="G7" s="73">
        <v>1447.06</v>
      </c>
      <c r="H7">
        <v>2590.08</v>
      </c>
      <c r="I7">
        <v>2530.85</v>
      </c>
      <c r="J7">
        <v>2371.08</v>
      </c>
      <c r="K7" s="65">
        <v>2065.8000000000002</v>
      </c>
      <c r="L7" s="66">
        <v>2003.46</v>
      </c>
      <c r="M7" s="66">
        <v>1888.41</v>
      </c>
      <c r="N7" s="36"/>
      <c r="O7" s="36">
        <v>1335.0757770357052</v>
      </c>
      <c r="P7" s="36">
        <v>1297.1658532408599</v>
      </c>
      <c r="Q7" s="36">
        <v>1250.5351485572396</v>
      </c>
      <c r="R7" s="63">
        <v>1235.4858501418821</v>
      </c>
      <c r="S7" s="64">
        <v>1186.1262366745914</v>
      </c>
      <c r="T7" s="72">
        <v>1109.7936958355701</v>
      </c>
      <c r="U7" s="36">
        <v>966.73633920573309</v>
      </c>
      <c r="V7" s="36">
        <v>944.62899372947152</v>
      </c>
      <c r="W7" s="36">
        <v>884.99552105106011</v>
      </c>
      <c r="X7" s="63">
        <v>1867.6430702468131</v>
      </c>
      <c r="Y7" s="64">
        <v>1811.2828858150256</v>
      </c>
      <c r="Z7" s="64">
        <v>1707.2687822077569</v>
      </c>
      <c r="AA7" s="36"/>
      <c r="AB7">
        <v>7831.7</v>
      </c>
      <c r="AC7">
        <v>3260.8</v>
      </c>
      <c r="AD7">
        <v>3036.94</v>
      </c>
      <c r="AE7" s="65">
        <v>7242.89</v>
      </c>
      <c r="AF7" s="66">
        <v>2637.67</v>
      </c>
      <c r="AG7" s="73">
        <v>1975.82</v>
      </c>
      <c r="AH7">
        <v>2594.52</v>
      </c>
      <c r="AI7">
        <v>1262.23</v>
      </c>
      <c r="AJ7">
        <v>760.21</v>
      </c>
      <c r="AK7" s="36"/>
      <c r="AL7" s="9">
        <v>3.7804530731839175E-2</v>
      </c>
      <c r="AM7" s="9">
        <v>1.5740262498612205E-2</v>
      </c>
      <c r="AN7" s="9">
        <v>1.4659664129212263E-2</v>
      </c>
      <c r="AO7" s="63">
        <v>2.2708624468690305E-2</v>
      </c>
      <c r="AP7" s="64">
        <v>8.2698836379304884E-3</v>
      </c>
      <c r="AQ7" s="72">
        <v>6.1947861140687864E-3</v>
      </c>
      <c r="AR7" s="36">
        <v>1.4577429178231507E-2</v>
      </c>
      <c r="AS7" s="36">
        <v>7.0918969333977596E-3</v>
      </c>
      <c r="AT7" s="36">
        <v>4.2712746232765114E-3</v>
      </c>
      <c r="AU7" s="36"/>
      <c r="AV7" s="3">
        <v>6.9944390700000003</v>
      </c>
      <c r="AW7" s="3">
        <v>3.0043232899999999</v>
      </c>
      <c r="AX7" s="3">
        <v>2.95999766</v>
      </c>
      <c r="AY7" s="104">
        <v>4.2014564700000001</v>
      </c>
      <c r="AZ7" s="105">
        <v>1.57846186</v>
      </c>
      <c r="BA7" s="110">
        <v>1.25081668</v>
      </c>
      <c r="BB7" s="3">
        <v>2.6970561000000002</v>
      </c>
      <c r="BC7" s="3">
        <v>1.3536210799999999</v>
      </c>
      <c r="BD7" s="3">
        <v>0.86243196</v>
      </c>
      <c r="BF7" s="5">
        <v>4.3195866733333332</v>
      </c>
      <c r="BG7" s="5">
        <v>2.3435783366666665</v>
      </c>
      <c r="BH7" s="5">
        <v>1.6377030466666669</v>
      </c>
      <c r="BI7" s="5">
        <v>8.3008680566666673</v>
      </c>
    </row>
    <row r="8" spans="1:61" x14ac:dyDescent="0.2">
      <c r="A8" s="2" t="s">
        <v>18</v>
      </c>
      <c r="B8">
        <v>2574.67</v>
      </c>
      <c r="C8">
        <v>2352.54</v>
      </c>
      <c r="D8">
        <v>2780.34</v>
      </c>
      <c r="E8" s="65">
        <v>1358.32</v>
      </c>
      <c r="F8" s="66">
        <v>1275.27</v>
      </c>
      <c r="G8" s="73">
        <v>1460.75</v>
      </c>
      <c r="H8">
        <v>2204.3000000000002</v>
      </c>
      <c r="I8">
        <v>2074.04</v>
      </c>
      <c r="J8">
        <v>2364.5100000000002</v>
      </c>
      <c r="K8" s="65">
        <v>1724.63</v>
      </c>
      <c r="L8" s="66">
        <v>1630.91</v>
      </c>
      <c r="M8" s="66">
        <v>1854</v>
      </c>
      <c r="N8" s="36"/>
      <c r="O8" s="36">
        <v>1102.2647486942376</v>
      </c>
      <c r="P8" s="36">
        <v>1007.1667094785513</v>
      </c>
      <c r="Q8" s="36">
        <v>1190.3159517081942</v>
      </c>
      <c r="R8" s="63">
        <v>1041.736329473119</v>
      </c>
      <c r="S8" s="64">
        <v>978.0427946928445</v>
      </c>
      <c r="T8" s="72">
        <v>1120.2929672520897</v>
      </c>
      <c r="U8" s="36">
        <v>822.74559570020915</v>
      </c>
      <c r="V8" s="36">
        <v>774.12660495670355</v>
      </c>
      <c r="W8" s="36">
        <v>882.54329650642001</v>
      </c>
      <c r="X8" s="61">
        <v>1559.1989874333242</v>
      </c>
      <c r="Y8" s="62">
        <v>1474.4688545339482</v>
      </c>
      <c r="Z8" s="62">
        <v>1676.1594792514238</v>
      </c>
      <c r="AA8" s="36"/>
      <c r="AB8">
        <f>1872.39+1027.32</f>
        <v>2899.71</v>
      </c>
      <c r="AC8">
        <f>1401.71+1211.16</f>
        <v>2612.87</v>
      </c>
      <c r="AD8">
        <v>2402.8200000000002</v>
      </c>
      <c r="AE8" s="65">
        <f>72.75+126.21+264.61</f>
        <v>463.57</v>
      </c>
      <c r="AF8" s="66">
        <v>1208.06</v>
      </c>
      <c r="AG8" s="73">
        <v>1610.49</v>
      </c>
      <c r="AH8">
        <v>381.25</v>
      </c>
      <c r="AI8">
        <v>297.86</v>
      </c>
      <c r="AJ8">
        <v>145.99</v>
      </c>
      <c r="AK8" s="36"/>
      <c r="AL8" s="36">
        <v>1.399723888918388E-2</v>
      </c>
      <c r="AM8" s="36">
        <v>1.2612628703001984E-2</v>
      </c>
      <c r="AN8" s="36">
        <v>1.1598692816767474E-2</v>
      </c>
      <c r="AO8" s="63">
        <v>1.4534304738786264E-3</v>
      </c>
      <c r="AP8" s="64">
        <v>3.7876290922057364E-3</v>
      </c>
      <c r="AQ8" s="72">
        <v>5.0493673962439091E-3</v>
      </c>
      <c r="AR8" s="36">
        <v>2.1420705464597544E-3</v>
      </c>
      <c r="AS8" s="36">
        <v>1.67354002090099E-3</v>
      </c>
      <c r="AT8" s="36">
        <v>8.2025148610533657E-4</v>
      </c>
      <c r="AU8" s="36"/>
      <c r="AV8" s="3">
        <v>3.09266614</v>
      </c>
      <c r="AW8" s="3">
        <v>2.9790292200000001</v>
      </c>
      <c r="AX8" s="3">
        <v>2.3819984299999999</v>
      </c>
      <c r="AY8" s="104">
        <v>0.32113299000000001</v>
      </c>
      <c r="AZ8" s="105">
        <v>0.89461586999999998</v>
      </c>
      <c r="BA8" s="110">
        <v>1.0369776500000001</v>
      </c>
      <c r="BB8" s="3">
        <v>0.47328684999999998</v>
      </c>
      <c r="BC8" s="3">
        <v>0.39528037999999999</v>
      </c>
      <c r="BD8" s="3">
        <v>0.16845326999999999</v>
      </c>
      <c r="BF8" s="5">
        <v>2.8178979299999996</v>
      </c>
      <c r="BG8" s="5">
        <v>0.75090883666666663</v>
      </c>
      <c r="BH8" s="5">
        <v>0.34567350000000002</v>
      </c>
      <c r="BI8" s="5">
        <v>3.9144802666666663</v>
      </c>
    </row>
    <row r="9" spans="1:61" x14ac:dyDescent="0.2">
      <c r="A9" s="2" t="s">
        <v>19</v>
      </c>
      <c r="B9">
        <v>3204.18</v>
      </c>
      <c r="C9">
        <v>2478.98</v>
      </c>
      <c r="D9">
        <v>2596.7399999999998</v>
      </c>
      <c r="E9" s="65">
        <v>1674.26</v>
      </c>
      <c r="F9" s="66">
        <v>1389.3</v>
      </c>
      <c r="G9" s="73">
        <v>1344.58</v>
      </c>
      <c r="H9">
        <v>2707.14</v>
      </c>
      <c r="I9">
        <v>2247.2600000000002</v>
      </c>
      <c r="J9">
        <v>2172.4899999999998</v>
      </c>
      <c r="K9" s="65">
        <v>2142.35</v>
      </c>
      <c r="L9" s="66">
        <v>1692.3</v>
      </c>
      <c r="M9" s="66">
        <v>1757.91</v>
      </c>
      <c r="N9" s="36"/>
      <c r="O9" s="36">
        <v>1371.7698433085025</v>
      </c>
      <c r="P9" s="36">
        <v>1061.2980563404401</v>
      </c>
      <c r="Q9" s="36">
        <v>1111.7133316208578</v>
      </c>
      <c r="R9" s="63">
        <v>1284.0401871309148</v>
      </c>
      <c r="S9" s="64">
        <v>1065.4958202316127</v>
      </c>
      <c r="T9" s="72">
        <v>1031.1987115576346</v>
      </c>
      <c r="U9" s="9">
        <v>1010.4284861152584</v>
      </c>
      <c r="V9" s="9">
        <v>838.78023290534497</v>
      </c>
      <c r="W9" s="9">
        <v>810.87264855180649</v>
      </c>
      <c r="X9" s="77">
        <v>1936.8501943766385</v>
      </c>
      <c r="Y9" s="78">
        <v>1529.9701654461621</v>
      </c>
      <c r="Z9" s="78">
        <v>1589.2866829400596</v>
      </c>
      <c r="AA9" s="36"/>
      <c r="AB9">
        <v>3580.61</v>
      </c>
      <c r="AC9">
        <v>3526.91</v>
      </c>
      <c r="AD9">
        <v>2344.15</v>
      </c>
      <c r="AE9" s="65">
        <v>3067.7</v>
      </c>
      <c r="AF9" s="66">
        <v>1449.17</v>
      </c>
      <c r="AG9" s="73">
        <f>1465.52+1101.99</f>
        <v>2567.5100000000002</v>
      </c>
      <c r="AH9">
        <v>264.77</v>
      </c>
      <c r="AI9">
        <v>293.11</v>
      </c>
      <c r="AJ9">
        <v>517.52</v>
      </c>
      <c r="AK9" s="36"/>
      <c r="AL9" s="36">
        <v>1.728402272606595E-2</v>
      </c>
      <c r="AM9" s="36">
        <v>1.7024806553293782E-2</v>
      </c>
      <c r="AN9" s="36">
        <v>1.1315485873442652E-2</v>
      </c>
      <c r="AO9" s="63">
        <v>9.6181561893941836E-3</v>
      </c>
      <c r="AP9" s="64">
        <v>4.5435809906393615E-3</v>
      </c>
      <c r="AQ9" s="72">
        <v>8.0499110727357513E-3</v>
      </c>
      <c r="AR9" s="36">
        <v>1.4876223438325222E-3</v>
      </c>
      <c r="AS9" s="36">
        <v>1.6468519288467373E-3</v>
      </c>
      <c r="AT9" s="36">
        <v>2.9077097684035462E-3</v>
      </c>
      <c r="AU9" s="36"/>
      <c r="AV9" s="3">
        <v>3.08473123</v>
      </c>
      <c r="AW9" s="3">
        <v>3.7870401299999998</v>
      </c>
      <c r="AX9" s="3">
        <v>2.49071277</v>
      </c>
      <c r="AY9" s="104">
        <v>1.7165811</v>
      </c>
      <c r="AZ9" s="105">
        <v>1.01068541</v>
      </c>
      <c r="BA9" s="110">
        <v>1.7719094399999999</v>
      </c>
      <c r="BB9" s="3">
        <v>0.26550041000000002</v>
      </c>
      <c r="BC9" s="3">
        <v>0.36632981999999997</v>
      </c>
      <c r="BD9" s="3">
        <v>0.64003171999999997</v>
      </c>
      <c r="BF9" s="5">
        <v>3.1208280433333333</v>
      </c>
      <c r="BG9" s="5">
        <v>1.4997253166666666</v>
      </c>
      <c r="BH9" s="5">
        <v>0.42395398333333328</v>
      </c>
      <c r="BI9" s="5">
        <v>5.0445073433333327</v>
      </c>
    </row>
    <row r="10" spans="1:61" x14ac:dyDescent="0.2">
      <c r="A10" s="2" t="s">
        <v>20</v>
      </c>
      <c r="B10">
        <v>2266.31</v>
      </c>
      <c r="C10">
        <v>2144.85</v>
      </c>
      <c r="D10">
        <v>2426.02</v>
      </c>
      <c r="E10" s="65">
        <v>1239.31</v>
      </c>
      <c r="F10" s="66">
        <v>1208.49</v>
      </c>
      <c r="G10" s="73">
        <v>1341.88</v>
      </c>
      <c r="H10">
        <v>2005.51</v>
      </c>
      <c r="I10">
        <v>1949.97</v>
      </c>
      <c r="J10">
        <v>2163.27</v>
      </c>
      <c r="K10" s="65">
        <v>1577.06</v>
      </c>
      <c r="L10" s="66">
        <v>1521.28</v>
      </c>
      <c r="M10" s="66">
        <v>1714.89</v>
      </c>
      <c r="N10" s="36"/>
      <c r="O10" s="36">
        <v>970.25002140594233</v>
      </c>
      <c r="P10" s="36">
        <v>918.25070639609555</v>
      </c>
      <c r="Q10" s="36">
        <v>1038.6248822673174</v>
      </c>
      <c r="R10" s="61">
        <v>950.46399263747207</v>
      </c>
      <c r="S10" s="62">
        <v>926.82721067566524</v>
      </c>
      <c r="T10" s="71">
        <v>1029.1280006135439</v>
      </c>
      <c r="U10" s="37">
        <v>748.54807405195584</v>
      </c>
      <c r="V10" s="37">
        <v>727.81800537473885</v>
      </c>
      <c r="W10" s="37">
        <v>807.43132278292035</v>
      </c>
      <c r="X10" s="63">
        <v>1425.7842871349785</v>
      </c>
      <c r="Y10" s="64">
        <v>1375.354850375192</v>
      </c>
      <c r="Z10" s="64">
        <v>1550.3932736642257</v>
      </c>
      <c r="AA10" s="36"/>
      <c r="AB10">
        <v>1767.17</v>
      </c>
      <c r="AC10">
        <v>2487.73</v>
      </c>
      <c r="AD10">
        <v>1607.94</v>
      </c>
      <c r="AE10" s="65">
        <f>548.74+514.35+192.45</f>
        <v>1255.5400000000002</v>
      </c>
      <c r="AF10" s="66">
        <f>715.64+290.47</f>
        <v>1006.11</v>
      </c>
      <c r="AG10" s="73">
        <v>1478.83</v>
      </c>
      <c r="AH10">
        <f>505.59+322.26</f>
        <v>827.84999999999991</v>
      </c>
      <c r="AI10">
        <v>1007.39</v>
      </c>
      <c r="AJ10">
        <v>794.28</v>
      </c>
      <c r="AK10" s="36"/>
      <c r="AL10" s="36">
        <v>8.530336015601242E-3</v>
      </c>
      <c r="AM10" s="36">
        <v>1.2008563305223423E-2</v>
      </c>
      <c r="AN10" s="36">
        <v>7.7617142057220647E-3</v>
      </c>
      <c r="AO10" s="63">
        <v>3.936493080168196E-3</v>
      </c>
      <c r="AP10" s="64">
        <v>3.1544554955541229E-3</v>
      </c>
      <c r="AQ10" s="72">
        <v>4.6365739536336024E-3</v>
      </c>
      <c r="AR10" s="36">
        <v>4.6513130541290691E-3</v>
      </c>
      <c r="AS10" s="36">
        <v>5.6600667483228638E-3</v>
      </c>
      <c r="AT10" s="36">
        <v>4.4626984751266977E-3</v>
      </c>
      <c r="AU10" s="36"/>
      <c r="AV10" s="3">
        <v>2.08308655</v>
      </c>
      <c r="AW10" s="3">
        <v>3.0414895099999999</v>
      </c>
      <c r="AX10" s="3">
        <v>1.7538308300000001</v>
      </c>
      <c r="AY10" s="104">
        <v>0.96128168999999997</v>
      </c>
      <c r="AZ10" s="105">
        <v>0.79895013999999998</v>
      </c>
      <c r="BA10" s="110">
        <v>1.0476766</v>
      </c>
      <c r="BB10" s="3">
        <v>1.1358389200000001</v>
      </c>
      <c r="BC10" s="3">
        <v>1.43356313</v>
      </c>
      <c r="BD10" s="3">
        <v>1.00838783</v>
      </c>
      <c r="BF10" s="5">
        <v>2.2928022966666668</v>
      </c>
      <c r="BG10" s="5">
        <v>0.93596947666666663</v>
      </c>
      <c r="BH10" s="5">
        <v>1.1925966266666668</v>
      </c>
      <c r="BI10" s="5">
        <v>4.4213684000000004</v>
      </c>
    </row>
    <row r="11" spans="1:61" x14ac:dyDescent="0.2">
      <c r="A11" s="2" t="s">
        <v>22</v>
      </c>
      <c r="B11">
        <v>2763.39</v>
      </c>
      <c r="C11">
        <v>2369.1999999999998</v>
      </c>
      <c r="D11">
        <v>3792.74</v>
      </c>
      <c r="E11" s="65">
        <v>1598.44</v>
      </c>
      <c r="F11" s="66">
        <v>1225.33</v>
      </c>
      <c r="G11" s="73">
        <v>2175.1</v>
      </c>
      <c r="H11">
        <v>2572.6</v>
      </c>
      <c r="I11">
        <v>1972.7</v>
      </c>
      <c r="J11">
        <v>3505.46</v>
      </c>
      <c r="K11" s="65">
        <v>1904.44</v>
      </c>
      <c r="L11" s="66">
        <v>1610</v>
      </c>
      <c r="M11" s="66">
        <v>2544.7600000000002</v>
      </c>
      <c r="N11" s="36"/>
      <c r="O11" s="9">
        <v>1183.0593372720268</v>
      </c>
      <c r="P11" s="9">
        <v>1014.2991694494391</v>
      </c>
      <c r="Q11" s="9">
        <v>1623.7434711876017</v>
      </c>
      <c r="R11" s="77">
        <v>1225.891556100928</v>
      </c>
      <c r="S11" s="78">
        <v>939.74231152695745</v>
      </c>
      <c r="T11" s="84">
        <v>1668.1493979599661</v>
      </c>
      <c r="U11" s="36">
        <v>960.21200358315923</v>
      </c>
      <c r="V11" s="36">
        <v>736.30188115855492</v>
      </c>
      <c r="W11" s="36">
        <v>1308.3980292624665</v>
      </c>
      <c r="X11" s="77">
        <v>1721.7611427538197</v>
      </c>
      <c r="Y11" s="78">
        <v>1455.5645963294457</v>
      </c>
      <c r="Z11" s="78">
        <v>2300.6599764939879</v>
      </c>
      <c r="AA11" s="36"/>
      <c r="AB11">
        <v>3490.05</v>
      </c>
      <c r="AC11">
        <f>1775.69+579.75</f>
        <v>2355.44</v>
      </c>
      <c r="AD11">
        <v>5136.1000000000004</v>
      </c>
      <c r="AE11" s="65">
        <v>1468.32</v>
      </c>
      <c r="AF11" s="66">
        <f>1331.46+524.04</f>
        <v>1855.5</v>
      </c>
      <c r="AG11" s="73">
        <v>1815.48</v>
      </c>
      <c r="AH11">
        <v>429.93</v>
      </c>
      <c r="AI11">
        <f>341.72+277.45</f>
        <v>619.17000000000007</v>
      </c>
      <c r="AJ11">
        <f>244.71+283.21+268.6+109.25</f>
        <v>905.77</v>
      </c>
      <c r="AK11" s="36"/>
      <c r="AL11" s="36">
        <v>1.6846879027625591E-2</v>
      </c>
      <c r="AM11" s="36">
        <v>1.1369984022243354E-2</v>
      </c>
      <c r="AN11" s="36">
        <v>2.4792554655030098E-2</v>
      </c>
      <c r="AO11" s="63">
        <v>4.6036219630378678E-3</v>
      </c>
      <c r="AP11" s="64">
        <v>5.8175469600746195E-3</v>
      </c>
      <c r="AQ11" s="72">
        <v>5.6920723013076093E-3</v>
      </c>
      <c r="AR11" s="9">
        <v>2.4155813509231269E-3</v>
      </c>
      <c r="AS11" s="9">
        <v>3.4788349383645541E-3</v>
      </c>
      <c r="AT11" s="9">
        <v>5.0891101347327258E-3</v>
      </c>
      <c r="AU11" s="36"/>
      <c r="AV11" s="3">
        <v>3.3091986599999998</v>
      </c>
      <c r="AW11" s="3">
        <v>2.7424593399999999</v>
      </c>
      <c r="AX11" s="3">
        <v>3.5926287700000001</v>
      </c>
      <c r="AY11" s="104">
        <v>0.90428023000000002</v>
      </c>
      <c r="AZ11" s="105">
        <v>1.40320215</v>
      </c>
      <c r="BA11" s="110">
        <v>0.82482434999999998</v>
      </c>
      <c r="BB11" s="3">
        <v>0.47448780000000002</v>
      </c>
      <c r="BC11" s="3">
        <v>0.83910085999999995</v>
      </c>
      <c r="BD11" s="3">
        <v>0.73745057000000003</v>
      </c>
      <c r="BF11" s="5">
        <v>3.2147622566666669</v>
      </c>
      <c r="BG11" s="5">
        <v>1.0441022433333333</v>
      </c>
      <c r="BH11" s="5">
        <v>0.68367974333333326</v>
      </c>
      <c r="BI11" s="5">
        <v>4.9425442433333338</v>
      </c>
    </row>
    <row r="12" spans="1:61" x14ac:dyDescent="0.2">
      <c r="A12" s="2" t="s">
        <v>86</v>
      </c>
      <c r="B12">
        <v>2132.83</v>
      </c>
      <c r="C12">
        <v>3621</v>
      </c>
      <c r="D12">
        <v>3073.95</v>
      </c>
      <c r="E12" s="65">
        <v>155.63</v>
      </c>
      <c r="F12" s="66">
        <v>1925.38</v>
      </c>
      <c r="G12" s="73">
        <v>1651.72</v>
      </c>
      <c r="H12">
        <v>2024.07</v>
      </c>
      <c r="I12">
        <v>3119.65</v>
      </c>
      <c r="J12">
        <v>2661.48</v>
      </c>
      <c r="K12" s="65">
        <v>1498.49</v>
      </c>
      <c r="L12" s="66">
        <v>2377.6999999999998</v>
      </c>
      <c r="M12" s="66">
        <v>2051.41</v>
      </c>
      <c r="N12" s="36"/>
      <c r="O12">
        <v>913.1047178696806</v>
      </c>
      <c r="P12">
        <v>1550.2183406113538</v>
      </c>
      <c r="Q12">
        <v>1316.0159260210635</v>
      </c>
      <c r="R12" s="65">
        <v>119.35731267735255</v>
      </c>
      <c r="S12" s="66">
        <v>1476.6316435309457</v>
      </c>
      <c r="T12" s="73">
        <v>1266.7535853976531</v>
      </c>
      <c r="U12">
        <v>755.47551507912817</v>
      </c>
      <c r="V12">
        <v>1164.3960883845925</v>
      </c>
      <c r="W12">
        <v>993.38608539862651</v>
      </c>
      <c r="X12" s="65">
        <v>1354.7509266793236</v>
      </c>
      <c r="Y12" s="66">
        <v>2149.6248078835547</v>
      </c>
      <c r="Z12" s="66">
        <v>1854.6333966187503</v>
      </c>
      <c r="AA12" s="36"/>
      <c r="AB12">
        <v>2748.52</v>
      </c>
      <c r="AC12">
        <v>5513.15</v>
      </c>
      <c r="AD12">
        <v>4767.1400000000003</v>
      </c>
      <c r="AE12" s="65">
        <f>843.63+325.28+124.19+186.31</f>
        <v>1479.4099999999999</v>
      </c>
      <c r="AF12" s="66">
        <f>1072.7+1382.75</f>
        <v>2455.4499999999998</v>
      </c>
      <c r="AG12" s="73">
        <v>2333.7199999999998</v>
      </c>
      <c r="AH12">
        <f>381.32+433.27+180.41</f>
        <v>994.99999999999989</v>
      </c>
      <c r="AI12">
        <f>133.79+234.04+661.11</f>
        <v>1028.94</v>
      </c>
      <c r="AJ12">
        <f>553.64+287.47+146.88</f>
        <v>987.99</v>
      </c>
      <c r="AK12" s="36"/>
      <c r="AL12" s="36">
        <v>1.3267427098468355E-2</v>
      </c>
      <c r="AM12" s="36">
        <v>2.6612619048768358E-2</v>
      </c>
      <c r="AN12" s="36">
        <v>2.3011541636296057E-2</v>
      </c>
      <c r="AO12" s="61">
        <v>4.6383924269490654E-3</v>
      </c>
      <c r="AP12" s="62">
        <v>7.6985694869928442E-3</v>
      </c>
      <c r="AQ12" s="71">
        <v>7.3169095616628073E-3</v>
      </c>
      <c r="AR12" s="36">
        <v>5.5904529671539811E-3</v>
      </c>
      <c r="AS12" s="36">
        <v>5.7811464080637373E-3</v>
      </c>
      <c r="AT12" s="36">
        <v>5.5510669618276005E-3</v>
      </c>
      <c r="AU12" s="36"/>
      <c r="AV12" s="3">
        <v>4.2216806499999997</v>
      </c>
      <c r="AW12" s="3">
        <v>4.1969974700000003</v>
      </c>
      <c r="AX12" s="3">
        <v>4.2372372900000004</v>
      </c>
      <c r="AY12" s="104">
        <v>1.47593135</v>
      </c>
      <c r="AZ12" s="105">
        <v>1.21411863</v>
      </c>
      <c r="BA12" s="110">
        <v>1.3473013899999999</v>
      </c>
      <c r="BB12" s="3">
        <v>1.7788759599999999</v>
      </c>
      <c r="BC12" s="3">
        <v>0.91172750999999996</v>
      </c>
      <c r="BD12" s="3">
        <v>1.02214742</v>
      </c>
      <c r="BF12" s="5">
        <v>4.2186384699999993</v>
      </c>
      <c r="BG12" s="5">
        <v>1.3457837899999998</v>
      </c>
      <c r="BH12" s="5">
        <v>1.23758363</v>
      </c>
      <c r="BI12" s="5">
        <v>6.8020058899999984</v>
      </c>
    </row>
    <row r="13" spans="1:61" x14ac:dyDescent="0.2">
      <c r="A13" s="2" t="s">
        <v>87</v>
      </c>
      <c r="B13">
        <v>2344.0100000000002</v>
      </c>
      <c r="C13">
        <v>2315.56</v>
      </c>
      <c r="D13">
        <v>1987.35</v>
      </c>
      <c r="E13" s="65">
        <v>1394.9</v>
      </c>
      <c r="F13" s="66">
        <v>1390.41</v>
      </c>
      <c r="G13" s="73">
        <v>1157.78</v>
      </c>
      <c r="H13">
        <v>2245.0300000000002</v>
      </c>
      <c r="I13">
        <v>2235.9699999999998</v>
      </c>
      <c r="J13">
        <v>1862.82</v>
      </c>
      <c r="K13" s="65">
        <v>1638.56</v>
      </c>
      <c r="L13" s="66">
        <v>1608.92</v>
      </c>
      <c r="M13" s="66">
        <v>1342.65</v>
      </c>
      <c r="N13" s="36"/>
      <c r="O13" s="36">
        <v>1003.5148557239492</v>
      </c>
      <c r="P13" s="36">
        <v>991.33487456117825</v>
      </c>
      <c r="Q13" s="36">
        <v>850.82198818391987</v>
      </c>
      <c r="R13" s="63">
        <v>1069.7906281156531</v>
      </c>
      <c r="S13" s="64">
        <v>1066.347112508628</v>
      </c>
      <c r="T13" s="72">
        <v>887.93619142572277</v>
      </c>
      <c r="U13" s="36">
        <v>837.9478948939983</v>
      </c>
      <c r="V13" s="36">
        <v>834.56628844431168</v>
      </c>
      <c r="W13" s="36">
        <v>695.28963869811889</v>
      </c>
      <c r="X13" s="63">
        <v>1481.3850465599853</v>
      </c>
      <c r="Y13" s="64">
        <v>1454.5881927492992</v>
      </c>
      <c r="Z13" s="64">
        <v>1213.8595063737455</v>
      </c>
      <c r="AA13" s="36"/>
      <c r="AB13">
        <v>3688.88</v>
      </c>
      <c r="AC13">
        <v>4615.05</v>
      </c>
      <c r="AD13">
        <v>3031.78</v>
      </c>
      <c r="AE13" s="65">
        <f>154.43+80.2</f>
        <v>234.63</v>
      </c>
      <c r="AF13" s="66">
        <f>488.76+306.5+330.03+553.9</f>
        <v>1679.19</v>
      </c>
      <c r="AG13" s="73">
        <f>764.99+493.71+375.36</f>
        <v>1634.06</v>
      </c>
      <c r="AH13">
        <f>743.32+358.23+315.15</f>
        <v>1416.7000000000003</v>
      </c>
      <c r="AI13">
        <f>659.9+837.15+104.45</f>
        <v>1601.5</v>
      </c>
      <c r="AJ13">
        <v>1240.7</v>
      </c>
      <c r="AK13" s="36"/>
      <c r="AL13" s="9">
        <v>1.7806654663236197E-2</v>
      </c>
      <c r="AM13" s="9">
        <v>2.2277385440450274E-2</v>
      </c>
      <c r="AN13" s="9">
        <v>1.4634756206465441E-2</v>
      </c>
      <c r="AO13" s="63">
        <v>7.3563516208154556E-4</v>
      </c>
      <c r="AP13" s="64">
        <v>5.2647624251617895E-3</v>
      </c>
      <c r="AQ13" s="72">
        <v>5.1232663894257785E-3</v>
      </c>
      <c r="AR13" s="36">
        <v>7.9597936870020574E-3</v>
      </c>
      <c r="AS13" s="36">
        <v>8.9981009315548768E-3</v>
      </c>
      <c r="AT13" s="36">
        <v>6.9709296445707994E-3</v>
      </c>
      <c r="AU13" s="36"/>
      <c r="AV13" s="3">
        <v>4.0537492400000001</v>
      </c>
      <c r="AW13" s="3">
        <v>5.1249651600000004</v>
      </c>
      <c r="AX13" s="3">
        <v>4.01182237</v>
      </c>
      <c r="AY13" s="104">
        <v>0.16747000000000001</v>
      </c>
      <c r="AZ13" s="105">
        <v>1.21117104</v>
      </c>
      <c r="BA13" s="110">
        <v>1.40443984</v>
      </c>
      <c r="BB13" s="3">
        <v>1.81207578</v>
      </c>
      <c r="BC13" s="3">
        <v>2.0700343800000001</v>
      </c>
      <c r="BD13" s="3">
        <v>1.91093935</v>
      </c>
      <c r="BF13" s="5">
        <v>4.3968455900000007</v>
      </c>
      <c r="BG13" s="5">
        <v>0.92769362666666666</v>
      </c>
      <c r="BH13" s="5">
        <v>1.9310165033333331</v>
      </c>
      <c r="BI13" s="5">
        <v>7.2555557200000003</v>
      </c>
    </row>
    <row r="14" spans="1:61" x14ac:dyDescent="0.2">
      <c r="N14" s="36"/>
      <c r="R14" s="36"/>
      <c r="S14" s="36"/>
      <c r="T14" s="36"/>
      <c r="U14" s="36"/>
      <c r="V14" s="36"/>
      <c r="W14" s="36"/>
      <c r="X14" s="36"/>
      <c r="Y14" s="36"/>
      <c r="Z14" s="36"/>
      <c r="AA14" s="36"/>
      <c r="AK14" s="36"/>
      <c r="AL14" s="36"/>
      <c r="AM14" s="36"/>
      <c r="AN14" s="36"/>
      <c r="AO14" s="36"/>
      <c r="AP14" s="36"/>
      <c r="AQ14" s="36"/>
      <c r="AR14" s="36"/>
      <c r="AS14" s="9"/>
      <c r="AT14" s="9"/>
      <c r="AU14" s="9"/>
    </row>
    <row r="15" spans="1:61" x14ac:dyDescent="0.2">
      <c r="N15" s="36"/>
      <c r="R15" s="36"/>
      <c r="S15" s="36"/>
      <c r="T15" s="36"/>
      <c r="U15" s="36"/>
      <c r="V15" s="36"/>
      <c r="W15" s="36"/>
      <c r="X15" s="36"/>
      <c r="Y15" s="36"/>
      <c r="Z15" s="36"/>
      <c r="AA15" s="36"/>
      <c r="AK15" s="36"/>
      <c r="AL15" s="36"/>
      <c r="AM15" s="36"/>
      <c r="AN15" s="36"/>
      <c r="AO15" s="36"/>
      <c r="AP15" s="9"/>
      <c r="AQ15" s="9"/>
      <c r="AR15" s="36"/>
      <c r="AS15" s="9"/>
      <c r="AT15" s="9"/>
      <c r="AU15" s="9"/>
    </row>
    <row r="16" spans="1:61" x14ac:dyDescent="0.2">
      <c r="N16" s="36"/>
      <c r="O16" s="36"/>
      <c r="P16" s="36"/>
      <c r="Q16" s="36"/>
      <c r="R16" s="36"/>
      <c r="S16" s="36"/>
      <c r="T16" s="36"/>
      <c r="U16" s="36"/>
      <c r="V16" s="36"/>
      <c r="W16" s="36"/>
      <c r="X16" s="36"/>
      <c r="Y16" s="36"/>
      <c r="Z16" s="36"/>
      <c r="AA16" s="36"/>
      <c r="AK16" s="36"/>
      <c r="AL16" s="36"/>
      <c r="AM16" s="9"/>
      <c r="AN16" s="9"/>
      <c r="AO16" s="36"/>
      <c r="AP16" s="9"/>
      <c r="AQ16" s="9"/>
      <c r="AR16" s="36"/>
      <c r="AS16" s="9"/>
      <c r="AT16" s="9"/>
      <c r="AU16" s="9"/>
    </row>
    <row r="17" spans="2:47" x14ac:dyDescent="0.2">
      <c r="N17" s="36"/>
      <c r="U17" s="36"/>
      <c r="V17" s="36"/>
      <c r="W17" s="36"/>
      <c r="X17" s="36"/>
      <c r="Y17" s="36"/>
      <c r="Z17" s="36"/>
      <c r="AA17" s="36"/>
      <c r="AK17" s="36"/>
      <c r="AL17" s="36"/>
      <c r="AM17" s="9"/>
      <c r="AN17" s="9"/>
      <c r="AO17" s="36"/>
      <c r="AP17" s="9"/>
      <c r="AQ17" s="9"/>
      <c r="AR17" s="36"/>
      <c r="AS17" s="36"/>
      <c r="AT17" s="36"/>
      <c r="AU17" s="36"/>
    </row>
    <row r="18" spans="2:47" x14ac:dyDescent="0.2">
      <c r="N18" s="36"/>
      <c r="R18" s="36"/>
      <c r="S18" s="36"/>
      <c r="T18" s="36"/>
      <c r="U18" s="36"/>
      <c r="V18" s="36"/>
      <c r="W18" s="36"/>
      <c r="X18" s="36"/>
      <c r="Y18" s="36"/>
      <c r="Z18" s="36"/>
      <c r="AA18" s="36"/>
      <c r="AK18" s="36"/>
      <c r="AL18" s="36"/>
      <c r="AM18" s="9"/>
      <c r="AN18" s="9"/>
      <c r="AO18" s="36"/>
      <c r="AP18" s="36"/>
      <c r="AQ18" s="36"/>
      <c r="AR18" s="36"/>
      <c r="AS18" s="36"/>
      <c r="AT18" s="36"/>
      <c r="AU18" s="36"/>
    </row>
    <row r="19" spans="2:47" x14ac:dyDescent="0.2">
      <c r="E19" s="36"/>
      <c r="F19" s="36"/>
      <c r="G19" s="36"/>
      <c r="H19" s="36"/>
      <c r="I19" s="36"/>
      <c r="J19" s="36"/>
      <c r="K19" s="36"/>
      <c r="L19" s="36"/>
      <c r="M19" s="36"/>
      <c r="N19" s="36"/>
      <c r="O19" s="36"/>
      <c r="P19" s="36"/>
      <c r="Q19" s="36"/>
      <c r="R19" s="36"/>
      <c r="S19" s="36"/>
      <c r="T19" s="36"/>
      <c r="U19" s="36"/>
      <c r="V19" s="36"/>
      <c r="W19" s="36"/>
      <c r="X19" s="36"/>
      <c r="Y19" s="36"/>
      <c r="Z19" s="36"/>
      <c r="AA19" s="36"/>
      <c r="AE19" s="36"/>
      <c r="AF19" s="36"/>
      <c r="AG19" s="36"/>
      <c r="AH19" s="36"/>
      <c r="AI19" s="36"/>
      <c r="AJ19" s="36"/>
      <c r="AK19" s="36"/>
      <c r="AL19" s="36"/>
      <c r="AM19" s="36"/>
      <c r="AN19" s="36"/>
      <c r="AO19" s="36"/>
      <c r="AP19" s="36"/>
      <c r="AQ19" s="36"/>
      <c r="AR19" s="36"/>
      <c r="AS19" s="36"/>
      <c r="AT19" s="36"/>
      <c r="AU19" s="36"/>
    </row>
    <row r="20" spans="2:47" x14ac:dyDescent="0.2">
      <c r="E20" s="36"/>
      <c r="F20" s="36"/>
      <c r="G20" s="36"/>
      <c r="H20" s="36"/>
      <c r="I20" s="36"/>
      <c r="J20" s="36"/>
      <c r="K20" s="36"/>
      <c r="L20" s="36"/>
      <c r="M20" s="36"/>
      <c r="N20" s="36"/>
      <c r="O20" s="36"/>
      <c r="P20" s="36"/>
      <c r="Q20" s="36"/>
      <c r="R20" s="36"/>
      <c r="S20" s="36"/>
      <c r="T20" s="36"/>
      <c r="U20" s="36"/>
      <c r="V20" s="36"/>
      <c r="W20" s="36"/>
      <c r="X20" s="36"/>
      <c r="Y20" s="36"/>
      <c r="Z20" s="36"/>
      <c r="AA20" s="36"/>
      <c r="AE20" s="36"/>
      <c r="AF20" s="36"/>
      <c r="AG20" s="36"/>
      <c r="AH20" s="36"/>
      <c r="AI20" s="36"/>
      <c r="AJ20" s="36"/>
      <c r="AK20" s="36"/>
      <c r="AL20" s="36"/>
      <c r="AM20" s="36"/>
      <c r="AN20" s="36"/>
      <c r="AO20" s="36"/>
      <c r="AP20" s="36"/>
      <c r="AQ20" s="36"/>
      <c r="AR20" s="36"/>
      <c r="AS20" s="36"/>
      <c r="AT20" s="36"/>
      <c r="AU20" s="36"/>
    </row>
    <row r="21" spans="2:47" x14ac:dyDescent="0.2">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row>
    <row r="22" spans="2:47" x14ac:dyDescent="0.2">
      <c r="B22" s="36"/>
      <c r="C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row>
    <row r="23" spans="2:47" x14ac:dyDescent="0.2">
      <c r="B23" s="36"/>
      <c r="C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row>
    <row r="24" spans="2:47" x14ac:dyDescent="0.2">
      <c r="B24" s="36"/>
      <c r="C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row>
    <row r="25" spans="2:47" x14ac:dyDescent="0.2">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row>
    <row r="26" spans="2:47" x14ac:dyDescent="0.2">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row>
    <row r="27" spans="2:47" x14ac:dyDescent="0.2">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row>
    <row r="28" spans="2:47" x14ac:dyDescent="0.2">
      <c r="B28" s="36"/>
      <c r="C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row>
    <row r="29" spans="2:47" x14ac:dyDescent="0.2">
      <c r="B29" s="36"/>
      <c r="C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row>
    <row r="30" spans="2:47" x14ac:dyDescent="0.2">
      <c r="B30" s="36"/>
      <c r="C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row>
    <row r="31" spans="2:47" x14ac:dyDescent="0.2">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row>
    <row r="32" spans="2:47" x14ac:dyDescent="0.2">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row>
    <row r="33" spans="1:61" x14ac:dyDescent="0.2">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row>
    <row r="34" spans="1:61" x14ac:dyDescent="0.2">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row>
    <row r="35" spans="1:61" x14ac:dyDescent="0.2">
      <c r="A35" s="2"/>
      <c r="N35" s="36"/>
      <c r="O35" s="36"/>
      <c r="P35" s="36"/>
      <c r="Q35" s="36"/>
      <c r="R35" s="36"/>
      <c r="S35" s="36"/>
      <c r="T35" s="36"/>
      <c r="U35" s="36"/>
      <c r="V35" s="36"/>
      <c r="W35" s="36"/>
      <c r="X35" s="36"/>
      <c r="Y35" s="36"/>
      <c r="Z35" s="36"/>
      <c r="AA35" s="36"/>
      <c r="AK35" s="36"/>
      <c r="AL35" s="9"/>
      <c r="AM35" s="9"/>
      <c r="AN35" s="9"/>
      <c r="AO35" s="36"/>
      <c r="AP35" s="36"/>
      <c r="AQ35" s="36"/>
      <c r="AR35" s="36"/>
      <c r="AS35" s="36"/>
      <c r="AT35" s="36"/>
      <c r="AU35" s="36"/>
      <c r="AV35" s="3"/>
      <c r="AW35" s="3"/>
      <c r="AX35" s="3"/>
      <c r="AY35" s="3"/>
      <c r="AZ35" s="3"/>
      <c r="BA35" s="3"/>
      <c r="BB35" s="3"/>
      <c r="BC35" s="3"/>
      <c r="BD35" s="3"/>
      <c r="BF35" s="5"/>
      <c r="BG35" s="5"/>
      <c r="BH35" s="5"/>
      <c r="BI35" s="5"/>
    </row>
    <row r="36" spans="1:61" x14ac:dyDescent="0.2">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row>
    <row r="37" spans="1:61" x14ac:dyDescent="0.2">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row>
    <row r="38" spans="1:61" x14ac:dyDescent="0.2">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row>
    <row r="39" spans="1:61" x14ac:dyDescent="0.2">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row>
    <row r="40" spans="1:61" x14ac:dyDescent="0.2">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row>
    <row r="41" spans="1:61" x14ac:dyDescent="0.2">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row>
    <row r="42" spans="1:61" x14ac:dyDescent="0.2">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row>
    <row r="43" spans="1:61" x14ac:dyDescent="0.2">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row>
    <row r="44" spans="1:61" x14ac:dyDescent="0.2">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row>
    <row r="45" spans="1:61" x14ac:dyDescent="0.2">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row>
    <row r="46" spans="1:61" x14ac:dyDescent="0.2">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row>
    <row r="47" spans="1:61" x14ac:dyDescent="0.2">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row>
    <row r="48" spans="1:61" x14ac:dyDescent="0.2">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row>
    <row r="49" spans="2:47" x14ac:dyDescent="0.2">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row>
    <row r="50" spans="2:47" x14ac:dyDescent="0.2">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row>
    <row r="51" spans="2:47" x14ac:dyDescent="0.2">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row>
    <row r="52" spans="2:47" x14ac:dyDescent="0.2">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row>
    <row r="53" spans="2:47" x14ac:dyDescent="0.2">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row>
    <row r="54" spans="2:47" x14ac:dyDescent="0.2">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row>
    <row r="55" spans="2:47" x14ac:dyDescent="0.2">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row>
    <row r="56" spans="2:47" x14ac:dyDescent="0.2">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row>
    <row r="57" spans="2:47" x14ac:dyDescent="0.2">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row>
    <row r="58" spans="2:47" x14ac:dyDescent="0.2">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row>
    <row r="59" spans="2:47" x14ac:dyDescent="0.2">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row>
    <row r="60" spans="2:47" x14ac:dyDescent="0.2">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row>
    <row r="61" spans="2:47" x14ac:dyDescent="0.2">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row>
    <row r="62" spans="2:47" x14ac:dyDescent="0.2">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row>
    <row r="63" spans="2:47" x14ac:dyDescent="0.2">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row>
    <row r="64" spans="2:47" x14ac:dyDescent="0.2">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row>
    <row r="65" spans="2:47" x14ac:dyDescent="0.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row>
    <row r="69" spans="2:47" x14ac:dyDescent="0.2">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row>
  </sheetData>
  <mergeCells count="24">
    <mergeCell ref="A1:BI1"/>
    <mergeCell ref="AV5:AX5"/>
    <mergeCell ref="AY5:BA5"/>
    <mergeCell ref="BB5:BD5"/>
    <mergeCell ref="AV4:BD4"/>
    <mergeCell ref="BF4:BI4"/>
    <mergeCell ref="B4:M4"/>
    <mergeCell ref="O4:Z4"/>
    <mergeCell ref="AB4:AJ4"/>
    <mergeCell ref="AL4:AT4"/>
    <mergeCell ref="B5:D5"/>
    <mergeCell ref="E5:G5"/>
    <mergeCell ref="H5:J5"/>
    <mergeCell ref="K5:M5"/>
    <mergeCell ref="O5:Q5"/>
    <mergeCell ref="R5:T5"/>
    <mergeCell ref="AL5:AN5"/>
    <mergeCell ref="AO5:AQ5"/>
    <mergeCell ref="AR5:AT5"/>
    <mergeCell ref="U5:W5"/>
    <mergeCell ref="X5:Z5"/>
    <mergeCell ref="AB5:AD5"/>
    <mergeCell ref="AE5:AG5"/>
    <mergeCell ref="AH5:AJ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0A50-31D3-4549-B205-F5F0D6CE3998}">
  <dimension ref="A1:AH18"/>
  <sheetViews>
    <sheetView tabSelected="1" workbookViewId="0">
      <selection activeCell="M31" sqref="M31"/>
    </sheetView>
  </sheetViews>
  <sheetFormatPr baseColWidth="10" defaultRowHeight="16" x14ac:dyDescent="0.2"/>
  <cols>
    <col min="10" max="10" width="11" bestFit="1" customWidth="1"/>
    <col min="11" max="11" width="11.5" bestFit="1" customWidth="1"/>
  </cols>
  <sheetData>
    <row r="1" spans="1:34" s="15" customFormat="1" ht="43" customHeight="1" x14ac:dyDescent="0.2">
      <c r="A1" s="45" t="s">
        <v>138</v>
      </c>
      <c r="B1" s="45"/>
      <c r="C1" s="45"/>
      <c r="D1" s="45"/>
      <c r="E1" s="45"/>
      <c r="F1" s="45"/>
      <c r="G1" s="45"/>
      <c r="H1" s="45"/>
      <c r="I1" s="45"/>
      <c r="J1" s="45"/>
      <c r="K1" s="45"/>
      <c r="L1" s="45"/>
      <c r="M1" s="45"/>
      <c r="N1" s="45"/>
      <c r="O1" s="45"/>
      <c r="P1" s="45"/>
    </row>
    <row r="2" spans="1:34" s="15" customFormat="1" ht="15" x14ac:dyDescent="0.2">
      <c r="A2" s="28"/>
      <c r="B2" s="28"/>
      <c r="C2" s="28"/>
      <c r="D2" s="28"/>
      <c r="E2" s="28"/>
      <c r="F2" s="28"/>
      <c r="G2" s="28"/>
      <c r="H2" s="28"/>
      <c r="I2" s="28"/>
      <c r="J2" s="28"/>
      <c r="K2" s="28"/>
      <c r="L2" s="28"/>
      <c r="M2" s="28"/>
      <c r="N2" s="28"/>
      <c r="O2" s="28"/>
      <c r="P2" s="28"/>
    </row>
    <row r="3" spans="1:34" s="15" customFormat="1" ht="15" x14ac:dyDescent="0.2">
      <c r="A3" s="28"/>
      <c r="B3" s="28"/>
      <c r="C3" s="28"/>
      <c r="D3" s="28"/>
      <c r="E3" s="28"/>
      <c r="F3" s="28"/>
      <c r="G3" s="28"/>
      <c r="H3" s="28"/>
      <c r="I3" s="28"/>
      <c r="J3" s="28"/>
      <c r="K3" s="28"/>
      <c r="L3" s="28"/>
      <c r="M3" s="28"/>
      <c r="N3" s="28"/>
      <c r="O3" s="28"/>
      <c r="P3" s="28"/>
    </row>
    <row r="4" spans="1:34" x14ac:dyDescent="0.2">
      <c r="A4" s="44" t="s">
        <v>123</v>
      </c>
      <c r="B4" s="44"/>
      <c r="C4" s="44"/>
      <c r="D4" s="44"/>
      <c r="E4" s="44"/>
      <c r="F4" s="44"/>
      <c r="I4" s="44" t="s">
        <v>122</v>
      </c>
      <c r="J4" s="44"/>
      <c r="K4" s="44"/>
      <c r="L4" s="44"/>
      <c r="M4" s="44"/>
      <c r="N4" s="44"/>
      <c r="O4" s="44"/>
      <c r="P4" s="44"/>
      <c r="Q4" s="44"/>
      <c r="R4" s="44"/>
      <c r="S4" s="44"/>
      <c r="T4" s="44"/>
      <c r="U4" s="44"/>
      <c r="V4" s="44"/>
      <c r="W4" s="44"/>
      <c r="X4" s="44"/>
      <c r="Y4" s="44"/>
      <c r="Z4" s="44"/>
      <c r="AA4" s="44"/>
      <c r="AB4" s="44"/>
      <c r="AC4" s="44"/>
      <c r="AD4" s="44"/>
      <c r="AE4" s="44"/>
      <c r="AF4" s="44"/>
      <c r="AG4" s="44"/>
      <c r="AH4" s="44"/>
    </row>
    <row r="5" spans="1:34" x14ac:dyDescent="0.2">
      <c r="A5" s="5"/>
      <c r="B5" s="11" t="s">
        <v>100</v>
      </c>
      <c r="C5" s="11" t="s">
        <v>95</v>
      </c>
      <c r="D5" s="11" t="s">
        <v>96</v>
      </c>
      <c r="E5" s="11" t="s">
        <v>97</v>
      </c>
      <c r="F5" s="11" t="s">
        <v>98</v>
      </c>
      <c r="I5" s="5"/>
      <c r="J5" s="11" t="s">
        <v>100</v>
      </c>
      <c r="K5" s="11" t="s">
        <v>101</v>
      </c>
      <c r="L5" s="42" t="s">
        <v>89</v>
      </c>
      <c r="M5" s="42"/>
      <c r="N5" s="42" t="s">
        <v>102</v>
      </c>
      <c r="O5" s="42"/>
      <c r="P5" s="18"/>
      <c r="Q5" s="42" t="s">
        <v>1</v>
      </c>
      <c r="R5" s="42"/>
      <c r="S5" s="11" t="s">
        <v>2</v>
      </c>
      <c r="T5" s="42" t="s">
        <v>103</v>
      </c>
      <c r="U5" s="42"/>
      <c r="V5" s="18" t="s">
        <v>90</v>
      </c>
      <c r="W5" s="42" t="s">
        <v>3</v>
      </c>
      <c r="X5" s="42"/>
      <c r="Y5" s="42" t="s">
        <v>91</v>
      </c>
      <c r="Z5" s="42"/>
      <c r="AA5" s="11" t="s">
        <v>71</v>
      </c>
      <c r="AB5" s="18" t="s">
        <v>72</v>
      </c>
      <c r="AC5" s="42" t="s">
        <v>104</v>
      </c>
      <c r="AD5" s="42"/>
      <c r="AE5" s="42" t="s">
        <v>92</v>
      </c>
      <c r="AF5" s="42"/>
      <c r="AG5" s="18" t="s">
        <v>105</v>
      </c>
      <c r="AH5" s="11" t="s">
        <v>106</v>
      </c>
    </row>
    <row r="6" spans="1:34" x14ac:dyDescent="0.2">
      <c r="A6" s="5" t="s">
        <v>124</v>
      </c>
      <c r="B6" s="5">
        <v>10</v>
      </c>
      <c r="C6" s="5">
        <v>21.12</v>
      </c>
      <c r="D6" s="5">
        <v>11.38</v>
      </c>
      <c r="E6" s="5">
        <v>25.58</v>
      </c>
      <c r="F6" s="5">
        <v>13.77</v>
      </c>
      <c r="I6" s="23"/>
      <c r="J6" s="19"/>
      <c r="K6" s="5" t="s">
        <v>107</v>
      </c>
      <c r="L6" s="5" t="s">
        <v>108</v>
      </c>
      <c r="M6" s="5" t="s">
        <v>109</v>
      </c>
      <c r="N6" s="24" t="s">
        <v>110</v>
      </c>
      <c r="O6" s="24" t="s">
        <v>111</v>
      </c>
      <c r="P6" s="24" t="s">
        <v>113</v>
      </c>
      <c r="Q6" s="5" t="s">
        <v>108</v>
      </c>
      <c r="R6" s="5" t="s">
        <v>109</v>
      </c>
      <c r="S6" s="5" t="s">
        <v>114</v>
      </c>
      <c r="T6" s="5" t="s">
        <v>115</v>
      </c>
      <c r="U6" s="5" t="s">
        <v>116</v>
      </c>
      <c r="V6" s="5" t="s">
        <v>117</v>
      </c>
      <c r="W6" s="24" t="s">
        <v>110</v>
      </c>
      <c r="X6" s="24" t="s">
        <v>111</v>
      </c>
      <c r="Y6" s="5" t="s">
        <v>115</v>
      </c>
      <c r="Z6" s="5" t="s">
        <v>116</v>
      </c>
      <c r="AA6" s="5" t="s">
        <v>119</v>
      </c>
      <c r="AB6" s="5" t="s">
        <v>121</v>
      </c>
      <c r="AC6" s="24" t="s">
        <v>112</v>
      </c>
      <c r="AD6" s="24" t="s">
        <v>113</v>
      </c>
      <c r="AE6" s="5" t="s">
        <v>117</v>
      </c>
      <c r="AF6" s="5" t="s">
        <v>118</v>
      </c>
      <c r="AG6" s="5" t="s">
        <v>121</v>
      </c>
      <c r="AH6" s="5" t="s">
        <v>120</v>
      </c>
    </row>
    <row r="7" spans="1:34" x14ac:dyDescent="0.2">
      <c r="A7" s="5" t="s">
        <v>125</v>
      </c>
      <c r="B7" s="5">
        <v>40</v>
      </c>
      <c r="C7" s="5">
        <v>84.02</v>
      </c>
      <c r="D7" s="5">
        <v>47.54</v>
      </c>
      <c r="E7" s="5">
        <v>102.03</v>
      </c>
      <c r="F7" s="5">
        <v>56</v>
      </c>
      <c r="I7" s="23" t="s">
        <v>134</v>
      </c>
      <c r="J7" s="19">
        <v>6.2500000000000003E-3</v>
      </c>
      <c r="K7" s="5">
        <v>1822</v>
      </c>
      <c r="L7">
        <v>143</v>
      </c>
      <c r="M7">
        <v>52</v>
      </c>
      <c r="N7">
        <v>2893</v>
      </c>
      <c r="O7">
        <v>1620</v>
      </c>
      <c r="P7">
        <v>501</v>
      </c>
      <c r="Q7">
        <v>160</v>
      </c>
      <c r="R7">
        <v>1819</v>
      </c>
      <c r="S7">
        <v>932</v>
      </c>
      <c r="T7" s="22">
        <v>191</v>
      </c>
      <c r="U7">
        <v>889</v>
      </c>
      <c r="V7">
        <v>715</v>
      </c>
      <c r="W7">
        <v>2467</v>
      </c>
      <c r="X7">
        <v>1042</v>
      </c>
      <c r="Y7">
        <v>587</v>
      </c>
      <c r="Z7">
        <v>65</v>
      </c>
      <c r="AA7">
        <v>418</v>
      </c>
      <c r="AB7">
        <v>1146</v>
      </c>
      <c r="AC7">
        <v>132</v>
      </c>
      <c r="AD7">
        <v>3382</v>
      </c>
      <c r="AE7">
        <v>2677</v>
      </c>
      <c r="AF7">
        <v>48</v>
      </c>
      <c r="AG7">
        <v>1113</v>
      </c>
      <c r="AH7">
        <v>29</v>
      </c>
    </row>
    <row r="8" spans="1:34" x14ac:dyDescent="0.2">
      <c r="A8" s="5" t="s">
        <v>126</v>
      </c>
      <c r="B8" s="5">
        <v>70</v>
      </c>
      <c r="C8" s="5">
        <v>172.82</v>
      </c>
      <c r="D8" s="5">
        <v>96.82</v>
      </c>
      <c r="E8" s="5">
        <v>205.12</v>
      </c>
      <c r="F8" s="5">
        <v>112.84</v>
      </c>
      <c r="I8" s="23" t="s">
        <v>125</v>
      </c>
      <c r="J8" s="23">
        <v>1.2500000000000001E-2</v>
      </c>
      <c r="K8" s="5">
        <v>5145</v>
      </c>
      <c r="L8">
        <v>548</v>
      </c>
      <c r="M8">
        <v>115</v>
      </c>
      <c r="N8" s="26">
        <v>6336</v>
      </c>
      <c r="O8">
        <v>3897</v>
      </c>
      <c r="P8">
        <v>1678</v>
      </c>
      <c r="Q8">
        <v>320</v>
      </c>
      <c r="R8">
        <v>4037</v>
      </c>
      <c r="S8">
        <v>2394</v>
      </c>
      <c r="T8" s="22">
        <v>360</v>
      </c>
      <c r="U8">
        <v>1968</v>
      </c>
      <c r="V8">
        <v>1939</v>
      </c>
      <c r="W8">
        <v>6955</v>
      </c>
      <c r="X8">
        <v>5053</v>
      </c>
      <c r="Y8">
        <v>1205</v>
      </c>
      <c r="Z8">
        <v>346</v>
      </c>
      <c r="AA8">
        <v>1032</v>
      </c>
      <c r="AB8">
        <v>1964</v>
      </c>
      <c r="AC8">
        <v>413</v>
      </c>
      <c r="AD8">
        <v>7101</v>
      </c>
      <c r="AE8">
        <v>6501</v>
      </c>
      <c r="AF8">
        <v>207</v>
      </c>
      <c r="AG8">
        <v>2699</v>
      </c>
      <c r="AH8">
        <v>194</v>
      </c>
    </row>
    <row r="9" spans="1:34" x14ac:dyDescent="0.2">
      <c r="A9" s="5" t="s">
        <v>127</v>
      </c>
      <c r="B9" s="5">
        <v>100</v>
      </c>
      <c r="C9" s="5">
        <v>232.26</v>
      </c>
      <c r="D9" s="5">
        <v>131.33000000000001</v>
      </c>
      <c r="E9" s="5">
        <v>275.01</v>
      </c>
      <c r="F9" s="5">
        <v>153.03</v>
      </c>
      <c r="I9" s="23" t="s">
        <v>135</v>
      </c>
      <c r="J9" s="23">
        <v>2.5000000000000001E-2</v>
      </c>
      <c r="K9" s="5">
        <v>12526</v>
      </c>
      <c r="L9">
        <v>1140</v>
      </c>
      <c r="M9">
        <v>1056</v>
      </c>
      <c r="N9">
        <v>16784</v>
      </c>
      <c r="O9">
        <v>9795</v>
      </c>
      <c r="P9">
        <v>4131</v>
      </c>
      <c r="Q9" s="21">
        <v>987</v>
      </c>
      <c r="R9" s="21">
        <v>9896</v>
      </c>
      <c r="S9">
        <v>5064</v>
      </c>
      <c r="T9" s="22">
        <v>727</v>
      </c>
      <c r="U9">
        <v>4497</v>
      </c>
      <c r="V9">
        <v>4811</v>
      </c>
      <c r="W9">
        <v>16736</v>
      </c>
      <c r="X9">
        <v>11707</v>
      </c>
      <c r="Y9">
        <v>3055</v>
      </c>
      <c r="Z9">
        <v>878</v>
      </c>
      <c r="AA9">
        <v>2605</v>
      </c>
      <c r="AB9">
        <v>5109</v>
      </c>
      <c r="AC9">
        <v>1076</v>
      </c>
      <c r="AD9" s="21">
        <v>19052</v>
      </c>
      <c r="AE9">
        <v>15785</v>
      </c>
      <c r="AF9">
        <v>547</v>
      </c>
      <c r="AG9">
        <v>5795</v>
      </c>
      <c r="AH9">
        <v>672</v>
      </c>
    </row>
    <row r="10" spans="1:34" x14ac:dyDescent="0.2">
      <c r="A10" s="5" t="s">
        <v>128</v>
      </c>
      <c r="B10" s="5">
        <v>250</v>
      </c>
      <c r="C10" s="5">
        <v>533.64</v>
      </c>
      <c r="D10" s="5">
        <v>299.27999999999997</v>
      </c>
      <c r="E10" s="5">
        <v>628.28</v>
      </c>
      <c r="F10" s="5">
        <v>349.8</v>
      </c>
      <c r="I10" s="23" t="s">
        <v>136</v>
      </c>
      <c r="J10" s="23">
        <v>0.05</v>
      </c>
      <c r="K10" s="5">
        <v>24586</v>
      </c>
      <c r="L10">
        <v>2017</v>
      </c>
      <c r="M10">
        <v>1929</v>
      </c>
      <c r="N10">
        <v>30926</v>
      </c>
      <c r="O10">
        <v>18708</v>
      </c>
      <c r="P10">
        <v>8889</v>
      </c>
      <c r="Q10" s="21">
        <v>1920</v>
      </c>
      <c r="R10" s="21">
        <v>19832</v>
      </c>
      <c r="S10">
        <v>9639</v>
      </c>
      <c r="T10" s="22">
        <v>1904</v>
      </c>
      <c r="U10">
        <v>9126</v>
      </c>
      <c r="V10">
        <v>9622</v>
      </c>
      <c r="W10">
        <v>31831</v>
      </c>
      <c r="X10">
        <v>22825</v>
      </c>
      <c r="Y10">
        <v>6459</v>
      </c>
      <c r="Z10">
        <v>2209</v>
      </c>
      <c r="AA10">
        <v>4575</v>
      </c>
      <c r="AB10">
        <v>9480</v>
      </c>
      <c r="AC10">
        <v>2456</v>
      </c>
      <c r="AD10">
        <v>38198</v>
      </c>
      <c r="AE10">
        <v>31938</v>
      </c>
      <c r="AF10">
        <v>824</v>
      </c>
      <c r="AG10">
        <v>11899</v>
      </c>
      <c r="AH10">
        <v>1506</v>
      </c>
    </row>
    <row r="11" spans="1:34" x14ac:dyDescent="0.2">
      <c r="A11" s="5" t="s">
        <v>129</v>
      </c>
      <c r="B11" s="5">
        <v>500</v>
      </c>
      <c r="C11" s="5">
        <v>1091.73</v>
      </c>
      <c r="D11" s="5">
        <v>616.03</v>
      </c>
      <c r="E11" s="5">
        <v>1287.27</v>
      </c>
      <c r="F11" s="5">
        <v>717.09</v>
      </c>
      <c r="I11" s="23" t="s">
        <v>137</v>
      </c>
      <c r="J11" s="23">
        <v>0.1</v>
      </c>
      <c r="K11" s="5">
        <v>51969</v>
      </c>
      <c r="L11">
        <v>5325</v>
      </c>
      <c r="M11">
        <v>3272</v>
      </c>
      <c r="N11">
        <v>57516</v>
      </c>
      <c r="O11">
        <v>37379</v>
      </c>
      <c r="P11">
        <v>16137</v>
      </c>
      <c r="Q11">
        <v>4104</v>
      </c>
      <c r="R11">
        <v>41791</v>
      </c>
      <c r="S11" s="26">
        <v>20495</v>
      </c>
      <c r="T11" s="22">
        <v>3209</v>
      </c>
      <c r="U11" s="26">
        <v>18269</v>
      </c>
      <c r="V11" s="21">
        <v>18959</v>
      </c>
      <c r="W11">
        <v>60488</v>
      </c>
      <c r="X11">
        <v>43470</v>
      </c>
      <c r="Y11">
        <v>11367</v>
      </c>
      <c r="Z11">
        <v>4008</v>
      </c>
      <c r="AA11">
        <v>10166</v>
      </c>
      <c r="AB11">
        <v>18320</v>
      </c>
      <c r="AC11">
        <v>4633</v>
      </c>
      <c r="AD11" s="21">
        <v>76138</v>
      </c>
      <c r="AE11">
        <v>60208</v>
      </c>
      <c r="AF11">
        <v>2079</v>
      </c>
      <c r="AG11">
        <v>24649</v>
      </c>
      <c r="AH11">
        <v>2959</v>
      </c>
    </row>
    <row r="12" spans="1:34" x14ac:dyDescent="0.2">
      <c r="A12" s="5" t="s">
        <v>130</v>
      </c>
      <c r="B12" s="5">
        <v>750</v>
      </c>
      <c r="C12" s="5">
        <v>1581.72</v>
      </c>
      <c r="D12" s="5">
        <v>891.58</v>
      </c>
      <c r="E12" s="5">
        <v>1859.92</v>
      </c>
      <c r="F12" s="5">
        <v>1023.49</v>
      </c>
      <c r="I12" s="23" t="s">
        <v>129</v>
      </c>
      <c r="J12" s="23">
        <v>0.2</v>
      </c>
      <c r="K12" s="5">
        <v>114107</v>
      </c>
      <c r="L12">
        <v>10624</v>
      </c>
      <c r="M12">
        <v>7928</v>
      </c>
      <c r="N12">
        <v>130086</v>
      </c>
      <c r="O12">
        <v>75054</v>
      </c>
      <c r="P12">
        <v>31656</v>
      </c>
      <c r="Q12">
        <v>8391</v>
      </c>
      <c r="R12">
        <v>82130</v>
      </c>
      <c r="S12" s="26">
        <v>41761</v>
      </c>
      <c r="T12" s="22">
        <v>6741</v>
      </c>
      <c r="U12">
        <v>34974</v>
      </c>
      <c r="V12">
        <v>37172</v>
      </c>
      <c r="W12">
        <v>129259</v>
      </c>
      <c r="X12">
        <v>92027</v>
      </c>
      <c r="Y12">
        <v>23573</v>
      </c>
      <c r="Z12">
        <v>7192</v>
      </c>
      <c r="AA12">
        <v>18773</v>
      </c>
      <c r="AB12">
        <v>35123</v>
      </c>
      <c r="AC12">
        <v>9061</v>
      </c>
      <c r="AD12">
        <v>148413</v>
      </c>
      <c r="AE12">
        <v>119040</v>
      </c>
      <c r="AF12">
        <v>5225.09</v>
      </c>
      <c r="AG12">
        <v>44850</v>
      </c>
      <c r="AH12">
        <v>5778</v>
      </c>
    </row>
    <row r="13" spans="1:34" x14ac:dyDescent="0.2">
      <c r="A13" s="5" t="s">
        <v>131</v>
      </c>
      <c r="B13" s="5">
        <v>1000</v>
      </c>
      <c r="C13" s="5">
        <v>2445.83</v>
      </c>
      <c r="D13" s="5">
        <v>1372.74</v>
      </c>
      <c r="E13" s="5">
        <v>2877.25</v>
      </c>
      <c r="F13" s="5">
        <v>1586.93</v>
      </c>
      <c r="I13" s="5"/>
      <c r="J13" s="5"/>
      <c r="K13" s="5"/>
    </row>
    <row r="14" spans="1:34" x14ac:dyDescent="0.2">
      <c r="A14" s="5" t="s">
        <v>132</v>
      </c>
      <c r="B14" s="5">
        <v>2000</v>
      </c>
      <c r="C14" s="5">
        <v>4145.22</v>
      </c>
      <c r="D14" s="5">
        <v>2319.7600000000002</v>
      </c>
      <c r="E14" s="5">
        <v>4856.12</v>
      </c>
      <c r="F14" s="5">
        <v>2701.93</v>
      </c>
      <c r="I14" s="23"/>
      <c r="J14" s="14" t="s">
        <v>99</v>
      </c>
      <c r="K14" s="25">
        <v>555819.14</v>
      </c>
      <c r="L14" s="26">
        <v>52408</v>
      </c>
      <c r="M14" s="26">
        <v>38211</v>
      </c>
      <c r="N14" s="21">
        <v>634504.56000000006</v>
      </c>
      <c r="O14" s="26">
        <v>374863</v>
      </c>
      <c r="P14" s="26">
        <v>159728</v>
      </c>
      <c r="Q14" s="26">
        <v>41586</v>
      </c>
      <c r="R14" s="26">
        <v>410837</v>
      </c>
      <c r="S14" s="26">
        <v>207163</v>
      </c>
      <c r="T14" s="27">
        <v>33536</v>
      </c>
      <c r="U14" s="26">
        <v>176679</v>
      </c>
      <c r="V14" s="26">
        <v>186803</v>
      </c>
      <c r="W14" s="21">
        <v>637897.73</v>
      </c>
      <c r="X14" s="26">
        <v>454911</v>
      </c>
      <c r="Y14" s="26">
        <v>117579</v>
      </c>
      <c r="Z14" s="26">
        <v>37065</v>
      </c>
      <c r="AA14" s="26">
        <v>95284</v>
      </c>
      <c r="AB14" s="26">
        <v>177982</v>
      </c>
      <c r="AC14" s="26">
        <v>45596</v>
      </c>
      <c r="AD14" s="21">
        <v>746291.58</v>
      </c>
      <c r="AE14" s="26">
        <v>598615</v>
      </c>
      <c r="AF14" s="26">
        <v>24581</v>
      </c>
      <c r="AG14" s="26">
        <v>229095</v>
      </c>
      <c r="AH14" s="21">
        <v>28998</v>
      </c>
    </row>
    <row r="15" spans="1:34" x14ac:dyDescent="0.2">
      <c r="A15" s="5" t="s">
        <v>133</v>
      </c>
      <c r="B15" s="5">
        <v>3500</v>
      </c>
      <c r="C15" s="5">
        <v>8495.4599999999991</v>
      </c>
      <c r="D15" s="5">
        <v>4734.13</v>
      </c>
      <c r="E15" s="5">
        <v>9649.64</v>
      </c>
      <c r="F15" s="5">
        <v>5513.59</v>
      </c>
      <c r="I15" s="23"/>
      <c r="J15" s="5"/>
      <c r="K15" s="25"/>
    </row>
    <row r="16" spans="1:34" x14ac:dyDescent="0.2">
      <c r="A16" s="5"/>
      <c r="B16" s="5"/>
      <c r="C16" s="5"/>
      <c r="D16" s="5"/>
      <c r="E16" s="5"/>
      <c r="F16" s="5"/>
      <c r="I16" s="5"/>
      <c r="J16" s="5"/>
      <c r="K16" s="5"/>
      <c r="L16" s="26"/>
      <c r="M16" s="26"/>
      <c r="N16" s="21"/>
      <c r="O16" s="26"/>
      <c r="P16" s="26"/>
      <c r="Q16" s="26"/>
      <c r="R16" s="26"/>
      <c r="S16" s="26"/>
      <c r="T16" s="27"/>
      <c r="U16" s="26"/>
      <c r="V16" s="26"/>
      <c r="W16" s="21"/>
      <c r="X16" s="26"/>
      <c r="Y16" s="26"/>
      <c r="Z16" s="26"/>
      <c r="AA16" s="26"/>
      <c r="AB16" s="26"/>
      <c r="AC16" s="26"/>
      <c r="AD16" s="21"/>
      <c r="AE16" s="26"/>
      <c r="AF16" s="26"/>
      <c r="AG16" s="26"/>
      <c r="AH16" s="21"/>
    </row>
    <row r="17" spans="1:34" x14ac:dyDescent="0.2">
      <c r="A17" s="5"/>
      <c r="B17" s="14" t="s">
        <v>99</v>
      </c>
      <c r="C17" s="5">
        <v>2.3357999999999999</v>
      </c>
      <c r="D17" s="5">
        <v>1.3039000000000001</v>
      </c>
      <c r="E17" s="5">
        <v>2.6791999999999998</v>
      </c>
      <c r="F17" s="5">
        <v>1.1061000000000001</v>
      </c>
      <c r="I17" s="5"/>
      <c r="J17" s="5"/>
      <c r="K17" s="5"/>
      <c r="L17" s="5"/>
      <c r="M17" s="5"/>
      <c r="N17" s="5"/>
      <c r="O17" s="5"/>
      <c r="P17" s="5"/>
      <c r="Q17" s="5"/>
      <c r="R17" s="5"/>
      <c r="S17" s="5"/>
      <c r="T17" s="5"/>
      <c r="U17" s="5"/>
      <c r="W17" s="5"/>
      <c r="X17" s="5"/>
      <c r="Y17" s="5"/>
      <c r="Z17" s="5"/>
      <c r="AA17" s="5"/>
      <c r="AB17" s="5"/>
      <c r="AC17" s="5"/>
      <c r="AD17" s="5"/>
      <c r="AE17" s="5"/>
      <c r="AF17" s="5"/>
      <c r="AG17" s="5"/>
      <c r="AH17" s="5"/>
    </row>
    <row r="18" spans="1:34"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row>
  </sheetData>
  <mergeCells count="11">
    <mergeCell ref="A1:P1"/>
    <mergeCell ref="A4:F4"/>
    <mergeCell ref="L5:M5"/>
    <mergeCell ref="N5:O5"/>
    <mergeCell ref="Q5:R5"/>
    <mergeCell ref="AE5:AF5"/>
    <mergeCell ref="I4:AH4"/>
    <mergeCell ref="T5:U5"/>
    <mergeCell ref="W5:X5"/>
    <mergeCell ref="Y5:Z5"/>
    <mergeCell ref="AC5:AD5"/>
  </mergeCells>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S2A PT Data for 11 Donors</vt:lpstr>
      <vt:lpstr>S2B Donor #5 Time Course</vt:lpstr>
      <vt:lpstr>S2C Donor #7 Time Course</vt:lpstr>
      <vt:lpstr>S2D Donor #8 Time Course</vt:lpstr>
      <vt:lpstr>S2E Donor #9 Time Course</vt:lpstr>
      <vt:lpstr>S2F PT Calibration Curves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Shane Byrne</dc:creator>
  <cp:lastModifiedBy>Peter C Dedon</cp:lastModifiedBy>
  <dcterms:created xsi:type="dcterms:W3CDTF">2024-03-24T18:16:29Z</dcterms:created>
  <dcterms:modified xsi:type="dcterms:W3CDTF">2024-09-07T15:31:39Z</dcterms:modified>
</cp:coreProperties>
</file>