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jimoto/Downloads/"/>
    </mc:Choice>
  </mc:AlternateContent>
  <xr:revisionPtr revIDLastSave="0" documentId="13_ncr:1_{4EDAE99D-0E8C-3845-B5F5-FDC9A01560DA}" xr6:coauthVersionLast="47" xr6:coauthVersionMax="47" xr10:uidLastSave="{00000000-0000-0000-0000-000000000000}"/>
  <bookViews>
    <workbookView xWindow="0" yWindow="500" windowWidth="51200" windowHeight="26920" xr2:uid="{6B7EFBA6-A677-574A-A2D8-3F073726256E}"/>
  </bookViews>
  <sheets>
    <sheet name="Table S1" sheetId="2" r:id="rId1"/>
    <sheet name="Table S2" sheetId="14" r:id="rId2"/>
    <sheet name="Table S3" sheetId="3" r:id="rId3"/>
    <sheet name="Table S4" sheetId="4" r:id="rId4"/>
    <sheet name="Table S5" sheetId="5" r:id="rId5"/>
    <sheet name="Table S6" sheetId="6" r:id="rId6"/>
    <sheet name="Table S7" sheetId="18" r:id="rId7"/>
    <sheet name="Table S8" sheetId="19" r:id="rId8"/>
    <sheet name="Table S9" sheetId="10" r:id="rId9"/>
    <sheet name="Table S10" sheetId="11" r:id="rId10"/>
    <sheet name="Table S11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4" i="19" l="1"/>
  <c r="C103" i="19"/>
  <c r="C102" i="19"/>
  <c r="C101" i="19"/>
  <c r="D100" i="19"/>
  <c r="C100" i="19"/>
  <c r="C99" i="19"/>
  <c r="C98" i="19"/>
  <c r="C97" i="19"/>
  <c r="C96" i="19"/>
  <c r="C95" i="19"/>
  <c r="C94" i="19"/>
  <c r="C93" i="19"/>
  <c r="C92" i="19"/>
  <c r="C91" i="19"/>
  <c r="E90" i="19"/>
  <c r="D90" i="19"/>
  <c r="C90" i="19"/>
  <c r="D89" i="19"/>
  <c r="C89" i="19"/>
  <c r="F88" i="19"/>
  <c r="E88" i="19"/>
  <c r="C88" i="19"/>
  <c r="C87" i="19"/>
  <c r="C86" i="19"/>
  <c r="C85" i="19"/>
  <c r="E84" i="19"/>
  <c r="C84" i="19"/>
  <c r="D83" i="19"/>
  <c r="C83" i="19"/>
  <c r="D82" i="19"/>
  <c r="C82" i="19"/>
  <c r="E81" i="19"/>
  <c r="C81" i="19"/>
  <c r="C80" i="19"/>
  <c r="C79" i="19"/>
  <c r="C78" i="19"/>
  <c r="C77" i="19"/>
  <c r="D76" i="19"/>
  <c r="C76" i="19"/>
  <c r="C75" i="19"/>
  <c r="C74" i="19"/>
  <c r="C73" i="19"/>
  <c r="D72" i="19"/>
  <c r="C72" i="19"/>
  <c r="E71" i="19"/>
  <c r="C71" i="19"/>
  <c r="C70" i="19"/>
  <c r="C69" i="19"/>
  <c r="E68" i="19"/>
  <c r="C68" i="19"/>
  <c r="G67" i="19"/>
  <c r="C67" i="19"/>
  <c r="C66" i="19"/>
  <c r="C65" i="19"/>
  <c r="C64" i="19"/>
  <c r="G63" i="19"/>
  <c r="F63" i="19"/>
  <c r="D63" i="19"/>
  <c r="C63" i="19"/>
  <c r="C62" i="19"/>
  <c r="D61" i="19"/>
  <c r="C61" i="19"/>
  <c r="C60" i="19"/>
  <c r="C59" i="19"/>
  <c r="G58" i="19"/>
  <c r="C58" i="19"/>
  <c r="D57" i="19"/>
  <c r="C57" i="19"/>
  <c r="C56" i="19"/>
  <c r="G55" i="19"/>
  <c r="D55" i="19"/>
  <c r="C55" i="19"/>
  <c r="D54" i="19"/>
  <c r="C54" i="19"/>
  <c r="C53" i="19"/>
  <c r="C52" i="19"/>
  <c r="C51" i="19"/>
  <c r="C50" i="19"/>
  <c r="E49" i="19"/>
  <c r="C49" i="19"/>
  <c r="D48" i="19"/>
  <c r="C48" i="19"/>
  <c r="C47" i="19"/>
  <c r="C46" i="19"/>
  <c r="C45" i="19"/>
  <c r="C44" i="19"/>
  <c r="D43" i="19"/>
  <c r="C43" i="19"/>
  <c r="E42" i="19"/>
  <c r="C42" i="19"/>
  <c r="C41" i="19"/>
  <c r="C40" i="19"/>
  <c r="C39" i="19"/>
  <c r="C38" i="19"/>
  <c r="C37" i="19"/>
  <c r="C36" i="19"/>
  <c r="D35" i="19"/>
  <c r="C35" i="19"/>
  <c r="C34" i="19"/>
  <c r="C33" i="19"/>
  <c r="M32" i="19"/>
  <c r="G32" i="19"/>
  <c r="E32" i="19"/>
  <c r="C32" i="19"/>
  <c r="C31" i="19"/>
  <c r="D30" i="19"/>
  <c r="C30" i="19"/>
  <c r="C29" i="19"/>
  <c r="C28" i="19"/>
  <c r="E27" i="19"/>
  <c r="D27" i="19"/>
  <c r="C27" i="19"/>
  <c r="C26" i="19"/>
  <c r="C25" i="19"/>
  <c r="E24" i="19"/>
  <c r="D24" i="19"/>
  <c r="C24" i="19"/>
  <c r="E23" i="19"/>
  <c r="C23" i="19"/>
  <c r="D22" i="19"/>
  <c r="C22" i="19"/>
  <c r="D21" i="19"/>
  <c r="C21" i="19"/>
  <c r="D20" i="19"/>
  <c r="C20" i="19"/>
  <c r="M19" i="19"/>
  <c r="G19" i="19"/>
  <c r="D19" i="19"/>
  <c r="C19" i="19"/>
  <c r="F18" i="19"/>
  <c r="D18" i="19"/>
  <c r="C18" i="19"/>
  <c r="D17" i="19"/>
  <c r="C17" i="19"/>
  <c r="C16" i="19"/>
  <c r="D15" i="19"/>
  <c r="C15" i="19"/>
  <c r="M14" i="19"/>
  <c r="L14" i="19"/>
  <c r="K14" i="19"/>
  <c r="J14" i="19"/>
  <c r="G14" i="19"/>
  <c r="F14" i="19"/>
  <c r="E14" i="19"/>
  <c r="D14" i="19"/>
  <c r="C14" i="19"/>
  <c r="M13" i="19"/>
  <c r="L13" i="19"/>
  <c r="K13" i="19"/>
  <c r="J13" i="19"/>
  <c r="G13" i="19"/>
  <c r="F13" i="19"/>
  <c r="E13" i="19"/>
  <c r="D13" i="19"/>
  <c r="C13" i="19"/>
  <c r="M12" i="19"/>
  <c r="L12" i="19"/>
  <c r="K12" i="19"/>
  <c r="J12" i="19"/>
  <c r="G12" i="19"/>
  <c r="F12" i="19"/>
  <c r="E12" i="19"/>
  <c r="D12" i="19"/>
  <c r="C12" i="19"/>
  <c r="M11" i="19"/>
  <c r="L11" i="19"/>
  <c r="K11" i="19"/>
  <c r="J11" i="19"/>
  <c r="G11" i="19"/>
  <c r="F11" i="19"/>
  <c r="E11" i="19"/>
  <c r="D11" i="19"/>
  <c r="C11" i="19"/>
  <c r="M10" i="19"/>
  <c r="L10" i="19"/>
  <c r="K10" i="19"/>
  <c r="J10" i="19"/>
  <c r="G10" i="19"/>
  <c r="F10" i="19"/>
  <c r="E10" i="19"/>
  <c r="D10" i="19"/>
  <c r="C10" i="19"/>
  <c r="M9" i="19"/>
  <c r="L9" i="19"/>
  <c r="K9" i="19"/>
  <c r="J9" i="19"/>
  <c r="G9" i="19"/>
  <c r="F9" i="19"/>
  <c r="E9" i="19"/>
  <c r="D9" i="19"/>
  <c r="C9" i="19"/>
  <c r="M8" i="19"/>
  <c r="L8" i="19"/>
  <c r="K8" i="19"/>
  <c r="J8" i="19"/>
  <c r="G8" i="19"/>
  <c r="F8" i="19"/>
  <c r="E8" i="19"/>
  <c r="D8" i="19"/>
  <c r="C8" i="19"/>
  <c r="M7" i="19"/>
  <c r="L7" i="19"/>
  <c r="K7" i="19"/>
  <c r="J7" i="19"/>
  <c r="G7" i="19"/>
  <c r="F7" i="19"/>
  <c r="E7" i="19"/>
  <c r="D7" i="19"/>
  <c r="C7" i="19"/>
  <c r="M6" i="19"/>
  <c r="L6" i="19"/>
  <c r="K6" i="19"/>
  <c r="J6" i="19"/>
  <c r="G6" i="19"/>
  <c r="F6" i="19"/>
  <c r="E6" i="19"/>
  <c r="D6" i="19"/>
  <c r="C6" i="19"/>
  <c r="M5" i="19"/>
  <c r="L5" i="19"/>
  <c r="K5" i="19"/>
  <c r="J5" i="19"/>
  <c r="G5" i="19"/>
  <c r="F5" i="19"/>
  <c r="E5" i="19"/>
  <c r="D5" i="19"/>
  <c r="C5" i="19"/>
  <c r="M102" i="18"/>
  <c r="M100" i="18"/>
  <c r="E88" i="18"/>
  <c r="M84" i="18"/>
  <c r="M82" i="18"/>
  <c r="M72" i="18"/>
  <c r="M69" i="18"/>
  <c r="G67" i="18"/>
  <c r="G63" i="18"/>
  <c r="M62" i="18"/>
  <c r="G58" i="18"/>
  <c r="G54" i="18"/>
  <c r="M39" i="18"/>
  <c r="M32" i="18"/>
  <c r="G32" i="18"/>
  <c r="M19" i="18"/>
  <c r="G19" i="18"/>
  <c r="F18" i="18"/>
  <c r="G10" i="18"/>
  <c r="G6" i="18"/>
  <c r="B30" i="3"/>
</calcChain>
</file>

<file path=xl/sharedStrings.xml><?xml version="1.0" encoding="utf-8"?>
<sst xmlns="http://schemas.openxmlformats.org/spreadsheetml/2006/main" count="1126" uniqueCount="630">
  <si>
    <t>LoMA</t>
  </si>
  <si>
    <t>lamassemble</t>
  </si>
  <si>
    <t>No.</t>
  </si>
  <si>
    <t>Site</t>
  </si>
  <si>
    <t>Insertion (%)</t>
  </si>
  <si>
    <t>Deletion (%)</t>
  </si>
  <si>
    <t>Mismatch (%)</t>
  </si>
  <si>
    <t>Error rate (%)</t>
  </si>
  <si>
    <t>homo/het</t>
  </si>
  <si>
    <t>PCR validation</t>
  </si>
  <si>
    <t>chr1:100674013</t>
  </si>
  <si>
    <t>homo</t>
  </si>
  <si>
    <t>chr1:112235854</t>
  </si>
  <si>
    <t>chr1:121468953</t>
  </si>
  <si>
    <t>chr1:216216351</t>
  </si>
  <si>
    <t>chr1:221362664</t>
  </si>
  <si>
    <t>chr1:22816720</t>
  </si>
  <si>
    <t>chr1:79097314</t>
  </si>
  <si>
    <t>chr1:84011493</t>
  </si>
  <si>
    <t>chr2:118124933</t>
  </si>
  <si>
    <t>het</t>
  </si>
  <si>
    <t>validated</t>
  </si>
  <si>
    <t>chr2:135709546</t>
  </si>
  <si>
    <t>chr2:164971322</t>
  </si>
  <si>
    <t>chr2:214514381</t>
  </si>
  <si>
    <t>chr2:35675420</t>
  </si>
  <si>
    <t>chr2:46156004</t>
  </si>
  <si>
    <t>chr2:53060499</t>
  </si>
  <si>
    <t>chr2:88248158</t>
  </si>
  <si>
    <t>chr3:123217205</t>
  </si>
  <si>
    <t>chr3:14065444</t>
  </si>
  <si>
    <t>chr3:1650435</t>
  </si>
  <si>
    <t>chr3:171657891</t>
  </si>
  <si>
    <t>chr3:173541097</t>
  </si>
  <si>
    <t>chr3:180991987</t>
  </si>
  <si>
    <t>chr3:184693926</t>
  </si>
  <si>
    <t>chr3:70912590</t>
  </si>
  <si>
    <t>chr3:96193763</t>
  </si>
  <si>
    <t>chr4:136055740</t>
  </si>
  <si>
    <t>chr4:84029266</t>
  </si>
  <si>
    <t>chr4:93086159</t>
  </si>
  <si>
    <t>chr5:107893630</t>
  </si>
  <si>
    <t>chr5:116524837</t>
  </si>
  <si>
    <t>chr5:128858955</t>
  </si>
  <si>
    <t>chr5:135901952</t>
  </si>
  <si>
    <t>chr5:142729346</t>
  </si>
  <si>
    <t>chr5:147932318</t>
  </si>
  <si>
    <t>chr5:71586237</t>
  </si>
  <si>
    <t>chr5:73110755</t>
  </si>
  <si>
    <t>chr5:93240038</t>
  </si>
  <si>
    <t>chr5:97570901</t>
  </si>
  <si>
    <t>chr6:127809977</t>
  </si>
  <si>
    <t>chr6:152989047</t>
  </si>
  <si>
    <t>chr6:16189701</t>
  </si>
  <si>
    <t>chr6:25135026</t>
  </si>
  <si>
    <t>chr6:4514474</t>
  </si>
  <si>
    <t>chr6:82091584</t>
  </si>
  <si>
    <t>chr6:82811302</t>
  </si>
  <si>
    <t>chr7:128032332</t>
  </si>
  <si>
    <t>chr7:139144467</t>
  </si>
  <si>
    <t>chr7:26812532</t>
  </si>
  <si>
    <t>chr7:70905425</t>
  </si>
  <si>
    <t>chr7:70914267</t>
  </si>
  <si>
    <t>chr8:1073437</t>
  </si>
  <si>
    <t>NA</t>
  </si>
  <si>
    <t>chr8:126202966</t>
  </si>
  <si>
    <t>chr8:66418165</t>
  </si>
  <si>
    <t>chr8:71236262</t>
  </si>
  <si>
    <t>chr8:80249944</t>
  </si>
  <si>
    <t>chr8:81898416</t>
  </si>
  <si>
    <t>chr8:86166991</t>
  </si>
  <si>
    <t>chr8:86836667</t>
  </si>
  <si>
    <t>chr9:114143645</t>
  </si>
  <si>
    <t>chr9:20561857</t>
  </si>
  <si>
    <t>chr10:18962257</t>
  </si>
  <si>
    <t>chr10:31657147</t>
  </si>
  <si>
    <t>chr10:43959837</t>
  </si>
  <si>
    <t>chr10:5591696</t>
  </si>
  <si>
    <t>chr10:58533974</t>
  </si>
  <si>
    <t>chr10:93141869</t>
  </si>
  <si>
    <t>chr11:106693406</t>
  </si>
  <si>
    <t>chr11:125216489</t>
  </si>
  <si>
    <t>chr11:129877383</t>
  </si>
  <si>
    <t>chr11:78314295</t>
  </si>
  <si>
    <t>chr12:121859713</t>
  </si>
  <si>
    <t>chr12:131013128</t>
  </si>
  <si>
    <t>chr12:21430369</t>
  </si>
  <si>
    <t>chr13:102323280</t>
  </si>
  <si>
    <t>chr13:84848424</t>
  </si>
  <si>
    <t>chr14:102879087</t>
  </si>
  <si>
    <t>chr14:76354488</t>
  </si>
  <si>
    <t>chr14:77800533</t>
  </si>
  <si>
    <t>chr15:25302165</t>
  </si>
  <si>
    <t>chr15:39271327</t>
  </si>
  <si>
    <t>chr15:40040792</t>
  </si>
  <si>
    <t>chr15:44219071</t>
  </si>
  <si>
    <t>chr16:10745429</t>
  </si>
  <si>
    <t>chr16:15750033</t>
  </si>
  <si>
    <t>chr16:20623174</t>
  </si>
  <si>
    <t>chr16:27730269</t>
  </si>
  <si>
    <t>chr16:8941400</t>
  </si>
  <si>
    <t>chr17:67806411</t>
  </si>
  <si>
    <t>chr18:70637542</t>
  </si>
  <si>
    <t>chr19:21727827</t>
  </si>
  <si>
    <t>chr19:50977754</t>
  </si>
  <si>
    <t>chr20:20749421</t>
  </si>
  <si>
    <t>chr20:54049247</t>
  </si>
  <si>
    <t>chr20:56031419</t>
  </si>
  <si>
    <t>chr21:15761349</t>
  </si>
  <si>
    <t>chr22:32042120</t>
  </si>
  <si>
    <t>chr22:41296714</t>
  </si>
  <si>
    <t>chrX:120008886</t>
  </si>
  <si>
    <t>chrX:122415512</t>
  </si>
  <si>
    <t>chrX:127164887</t>
  </si>
  <si>
    <t>chrX:148484637</t>
  </si>
  <si>
    <t>chrX:35788224</t>
  </si>
  <si>
    <t>chrX:38732155</t>
  </si>
  <si>
    <t>chrX:43052873</t>
  </si>
  <si>
    <t>chrX:44418357</t>
  </si>
  <si>
    <t>chrX:55441309</t>
  </si>
  <si>
    <t>chrX:99313769</t>
  </si>
  <si>
    <t>chrY:24402873</t>
  </si>
  <si>
    <t>mean</t>
  </si>
  <si>
    <t>Flowcell</t>
  </si>
  <si>
    <t>Yield [Gbp]</t>
  </si>
  <si>
    <t>Number of reads (million)</t>
  </si>
  <si>
    <t>Mean read length [kbp]</t>
  </si>
  <si>
    <t>FAF05323</t>
  </si>
  <si>
    <t>FAF05369</t>
  </si>
  <si>
    <t>FAF05679</t>
  </si>
  <si>
    <t>FAF05284</t>
  </si>
  <si>
    <t>FAF05382</t>
  </si>
  <si>
    <t>FAF18188</t>
  </si>
  <si>
    <t>FAF18159</t>
  </si>
  <si>
    <t>FAE22620</t>
  </si>
  <si>
    <t>FAE21461</t>
  </si>
  <si>
    <t>FAF18269</t>
  </si>
  <si>
    <t>FAF17738</t>
  </si>
  <si>
    <t>FAF18300</t>
  </si>
  <si>
    <t>FAF18305</t>
  </si>
  <si>
    <t>FAF18162</t>
  </si>
  <si>
    <t>FAF17723</t>
  </si>
  <si>
    <t>FAF18259</t>
  </si>
  <si>
    <t>FAF18258</t>
  </si>
  <si>
    <t>FAN51169</t>
  </si>
  <si>
    <t>FAO17314</t>
  </si>
  <si>
    <t>FAN52784</t>
  </si>
  <si>
    <t>FAO17429</t>
  </si>
  <si>
    <t>FAK37967</t>
  </si>
  <si>
    <t>FAP12521</t>
  </si>
  <si>
    <t>FAO92979</t>
  </si>
  <si>
    <t>FAO92964</t>
  </si>
  <si>
    <t>FAP04019</t>
  </si>
  <si>
    <t>total insertions [bp]</t>
  </si>
  <si>
    <t>total deletions [bp]</t>
  </si>
  <si>
    <t>total mismatches [bp]</t>
  </si>
  <si>
    <t>total edit distance</t>
  </si>
  <si>
    <t>total alignment length [bp]</t>
  </si>
  <si>
    <t>raw reads</t>
  </si>
  <si>
    <t>ID</t>
  </si>
  <si>
    <t>Forward primer</t>
  </si>
  <si>
    <t>Reverse primer</t>
  </si>
  <si>
    <t>PCR result</t>
  </si>
  <si>
    <t>CGACACAAATGGTGCATCTC</t>
  </si>
  <si>
    <t>GAATAGGCCAAATTCGTGGA</t>
  </si>
  <si>
    <t>GATACAAATGCTGCCACTGC</t>
  </si>
  <si>
    <t>TCACACTTCTCTTTCTTATAAACACCA</t>
  </si>
  <si>
    <t>not validated</t>
  </si>
  <si>
    <t>GGTTTAGGCATGCATCGTTT</t>
  </si>
  <si>
    <t>TAAAATGCTTGCCGTCCTTT</t>
  </si>
  <si>
    <t>TGGGGGAAAGGTTATCAGTG</t>
  </si>
  <si>
    <t>CACACCTACTTCTTGTTGCAGAA</t>
  </si>
  <si>
    <t>TCTGTCAGACAATGGCAAGG</t>
  </si>
  <si>
    <t>GGCCTGCAATTGCTGTTATT</t>
  </si>
  <si>
    <t>GCCATTTCATTTCACATGGTA</t>
  </si>
  <si>
    <t>Position of left insertion breakpoint</t>
  </si>
  <si>
    <t>Match [bp]</t>
  </si>
  <si>
    <t>Edit distance [bp]</t>
  </si>
  <si>
    <t>Identity %</t>
  </si>
  <si>
    <t>chr1:112449366</t>
  </si>
  <si>
    <t>chr1:150227794</t>
  </si>
  <si>
    <t>chr1:204269328</t>
  </si>
  <si>
    <t>chr1:233206360</t>
  </si>
  <si>
    <t>chr1:245826011</t>
  </si>
  <si>
    <t>chr1:65590242</t>
  </si>
  <si>
    <t>chr1:72173323</t>
  </si>
  <si>
    <t>chr1:92701963</t>
  </si>
  <si>
    <t>chr1:93032655</t>
  </si>
  <si>
    <t>chr2:118136424</t>
  </si>
  <si>
    <t>chr2:119660920</t>
  </si>
  <si>
    <t>chr2:152391748</t>
  </si>
  <si>
    <t>chr2:157653844</t>
  </si>
  <si>
    <t>chr2:214336908</t>
  </si>
  <si>
    <t>chr2:21573939</t>
  </si>
  <si>
    <t>chr2:217316035</t>
  </si>
  <si>
    <t>chr2:236849235</t>
  </si>
  <si>
    <t>chr2:31727128</t>
  </si>
  <si>
    <t>chr2:39088184</t>
  </si>
  <si>
    <t>chr2:50375492</t>
  </si>
  <si>
    <t>chr2:65106644</t>
  </si>
  <si>
    <t>chr2:84501628</t>
  </si>
  <si>
    <t>chr3:106570342</t>
  </si>
  <si>
    <t>chr3:113015585</t>
  </si>
  <si>
    <t>chr3:171908584</t>
  </si>
  <si>
    <t>chr3:191281662</t>
  </si>
  <si>
    <t>chr3:2920306</t>
  </si>
  <si>
    <t>chr3:40200118</t>
  </si>
  <si>
    <t>chr3:76173147</t>
  </si>
  <si>
    <t>chr3:99007918</t>
  </si>
  <si>
    <t>chr4:136885369</t>
  </si>
  <si>
    <t>chr4:173228289</t>
  </si>
  <si>
    <t>chr4:185440742</t>
  </si>
  <si>
    <t>chr5:109715292</t>
  </si>
  <si>
    <t>chr5:112322965</t>
  </si>
  <si>
    <t>chr5:115404022</t>
  </si>
  <si>
    <t>chr5:117973459</t>
  </si>
  <si>
    <t>chr5:142537963</t>
  </si>
  <si>
    <t>chr5:142975431</t>
  </si>
  <si>
    <t>chr5:170774322</t>
  </si>
  <si>
    <t>chr6:120247107</t>
  </si>
  <si>
    <t>chr6:122658847</t>
  </si>
  <si>
    <t>chr6:130293647</t>
  </si>
  <si>
    <t>chr6:132204993</t>
  </si>
  <si>
    <t>chr6:20887684</t>
  </si>
  <si>
    <t>chr6:66106224</t>
  </si>
  <si>
    <t>chr6:73795115</t>
  </si>
  <si>
    <t>chr6:92866415</t>
  </si>
  <si>
    <t>chr6:94221052</t>
  </si>
  <si>
    <t>chr6:96061287</t>
  </si>
  <si>
    <t>chr7:109643282</t>
  </si>
  <si>
    <t>chr7:120463396</t>
  </si>
  <si>
    <t>chr7:132166352</t>
  </si>
  <si>
    <t>chr7:142659891</t>
  </si>
  <si>
    <t>chr7:154268946</t>
  </si>
  <si>
    <t>chr7:36212542</t>
  </si>
  <si>
    <t>chr7:82801193</t>
  </si>
  <si>
    <t>chr8:126853222</t>
  </si>
  <si>
    <t>chr8:138105162</t>
  </si>
  <si>
    <t>chr8:19801418</t>
  </si>
  <si>
    <t>chr8:41412940</t>
  </si>
  <si>
    <t>chr8:74463098</t>
  </si>
  <si>
    <t>chr9:13605518</t>
  </si>
  <si>
    <t>chr9:90295230</t>
  </si>
  <si>
    <t>chr10:103992648</t>
  </si>
  <si>
    <t>chr10:104057440</t>
  </si>
  <si>
    <t>chr10:106131789</t>
  </si>
  <si>
    <t>chr10:107231511</t>
  </si>
  <si>
    <t>chr10:112314100</t>
  </si>
  <si>
    <t>chr10:1250039</t>
  </si>
  <si>
    <t>chr10:14442803</t>
  </si>
  <si>
    <t>chr10:16506038</t>
  </si>
  <si>
    <t>chr10:28813598</t>
  </si>
  <si>
    <t>chr10:28816356</t>
  </si>
  <si>
    <t>chr10:52707169</t>
  </si>
  <si>
    <t>chr10:59225144</t>
  </si>
  <si>
    <t>chr10:65077307</t>
  </si>
  <si>
    <t>chr11:103921861</t>
  </si>
  <si>
    <t>chr11:104915863</t>
  </si>
  <si>
    <t>chr11:25583578</t>
  </si>
  <si>
    <t>chr11:3246567</t>
  </si>
  <si>
    <t>chr11:428015</t>
  </si>
  <si>
    <t>chr11:55641410</t>
  </si>
  <si>
    <t>chr11:61377730</t>
  </si>
  <si>
    <t>chr11:7071558</t>
  </si>
  <si>
    <t>chr11:7331215</t>
  </si>
  <si>
    <t>chr11:7591457</t>
  </si>
  <si>
    <t>chr12:105437112</t>
  </si>
  <si>
    <t>chr12:115112625</t>
  </si>
  <si>
    <t>chr12:74807864</t>
  </si>
  <si>
    <t>chr12:78003154</t>
  </si>
  <si>
    <t>chr12:80921441</t>
  </si>
  <si>
    <t>chr12:9216630</t>
  </si>
  <si>
    <t>chr12:96311578</t>
  </si>
  <si>
    <t>chr13:42365937</t>
  </si>
  <si>
    <t>chr13:78010529</t>
  </si>
  <si>
    <t>chr13:78697453</t>
  </si>
  <si>
    <t>chr13:91509408</t>
  </si>
  <si>
    <t>chr13:91609018</t>
  </si>
  <si>
    <t>chr13:99430358</t>
  </si>
  <si>
    <t>chr14:20016137</t>
  </si>
  <si>
    <t>chr14:36205539</t>
  </si>
  <si>
    <t>chr14:39843744</t>
  </si>
  <si>
    <t>chr14:40123224</t>
  </si>
  <si>
    <t>chr14:52177036</t>
  </si>
  <si>
    <t>chr16:82878504</t>
  </si>
  <si>
    <t>chr16:8485492</t>
  </si>
  <si>
    <t>chr18:38932569</t>
  </si>
  <si>
    <t>chr18:40768191</t>
  </si>
  <si>
    <t>chr18:59705527</t>
  </si>
  <si>
    <t>chr18:64506546</t>
  </si>
  <si>
    <t>chr18:78280931</t>
  </si>
  <si>
    <t>chr19:35689270</t>
  </si>
  <si>
    <t>chr21:24981911</t>
  </si>
  <si>
    <t>chr21:27385453</t>
  </si>
  <si>
    <t>chr22:26601644</t>
  </si>
  <si>
    <t>chrX:127156694</t>
  </si>
  <si>
    <t>chrX:31982956</t>
  </si>
  <si>
    <t>chrX:34224327</t>
  </si>
  <si>
    <t>chrX:35009981</t>
  </si>
  <si>
    <t>chrX:47848690</t>
  </si>
  <si>
    <t>Total compressed length [bp]</t>
  </si>
  <si>
    <t>Total matching bases [bp]</t>
  </si>
  <si>
    <t>Length of Sanger sequence [bp]</t>
    <phoneticPr fontId="1"/>
  </si>
  <si>
    <t>NA18943</t>
  </si>
  <si>
    <t>NA19240</t>
  </si>
  <si>
    <t>KLF18</t>
  </si>
  <si>
    <t>GOLGA6L2</t>
  </si>
  <si>
    <t>POTEJ</t>
  </si>
  <si>
    <t>ARMCX4</t>
  </si>
  <si>
    <t>FXN</t>
  </si>
  <si>
    <t>PRB1</t>
  </si>
  <si>
    <t>PRB2</t>
  </si>
  <si>
    <t>ZNF676</t>
  </si>
  <si>
    <t>ZNF100</t>
  </si>
  <si>
    <t>ZNF728</t>
  </si>
  <si>
    <t>ZNF28</t>
  </si>
  <si>
    <t>Gene</t>
  </si>
  <si>
    <t>Gene</t>
    <phoneticPr fontId="1"/>
  </si>
  <si>
    <t>TD breakpoint</t>
  </si>
  <si>
    <t>PHACTR4</t>
  </si>
  <si>
    <t>chr1:3,345,704</t>
  </si>
  <si>
    <t>PRDM16</t>
  </si>
  <si>
    <t>chr1:39,504,606</t>
  </si>
  <si>
    <t>BMP8A</t>
  </si>
  <si>
    <t>chr1:9,680,450</t>
  </si>
  <si>
    <t>PIK3CD</t>
  </si>
  <si>
    <t>chr1:79,184,532</t>
  </si>
  <si>
    <t>ADGRL</t>
  </si>
  <si>
    <t>chr1:59,998,319</t>
  </si>
  <si>
    <t>C1orf87</t>
  </si>
  <si>
    <t>chr1:182,451,476</t>
  </si>
  <si>
    <t>RGSL1</t>
  </si>
  <si>
    <t>chr1:79,184,513</t>
  </si>
  <si>
    <t>ADGRL4</t>
  </si>
  <si>
    <t>chr1:210,745,151</t>
  </si>
  <si>
    <t>KCNH1</t>
  </si>
  <si>
    <t>chr1:147,653,140</t>
  </si>
  <si>
    <t>ACP6</t>
  </si>
  <si>
    <t>chr2:69,894,626</t>
  </si>
  <si>
    <t>SNRNP27</t>
  </si>
  <si>
    <t>chr3:54,991,754</t>
  </si>
  <si>
    <t>CACNA2D3</t>
  </si>
  <si>
    <t>chr2:133,222,488</t>
  </si>
  <si>
    <t>NCKAP5</t>
  </si>
  <si>
    <t>chr4:52,081,963</t>
  </si>
  <si>
    <t>SPATA18</t>
  </si>
  <si>
    <t>chr4:37,532,956</t>
  </si>
  <si>
    <t>C4orf19</t>
  </si>
  <si>
    <t>chr5:127,925,139</t>
  </si>
  <si>
    <t>CCDC192</t>
  </si>
  <si>
    <t>chr4:52,081,951</t>
  </si>
  <si>
    <t>chr6:53,345,529</t>
  </si>
  <si>
    <t>ELOVL5</t>
  </si>
  <si>
    <t>chr4:150,090,200</t>
  </si>
  <si>
    <t>DCLK2</t>
  </si>
  <si>
    <t>chr6:160,728,336</t>
  </si>
  <si>
    <t>PLG</t>
  </si>
  <si>
    <t>chr7:87,380,337</t>
  </si>
  <si>
    <t>CROT</t>
  </si>
  <si>
    <t>chr7:6,198,177</t>
  </si>
  <si>
    <t>CYTH3</t>
  </si>
  <si>
    <t>chr7:89,285,748</t>
  </si>
  <si>
    <t>ZNF804F</t>
  </si>
  <si>
    <t>chr7:87,380,326</t>
  </si>
  <si>
    <t>chr7:148,311,210</t>
  </si>
  <si>
    <t>CNTNAP2</t>
  </si>
  <si>
    <t>chr7:158,637,529</t>
  </si>
  <si>
    <t>NCAPG2</t>
  </si>
  <si>
    <t>chr7:158,637,511</t>
  </si>
  <si>
    <t>chr10:12,825,145</t>
  </si>
  <si>
    <t>CAMK1D</t>
  </si>
  <si>
    <t>chr8:141,246,608</t>
  </si>
  <si>
    <t>SLC45A4</t>
  </si>
  <si>
    <t>chr10:103,992,652</t>
  </si>
  <si>
    <t>SLK</t>
  </si>
  <si>
    <t>chr12:47,941,230</t>
  </si>
  <si>
    <t>VDR</t>
  </si>
  <si>
    <t>chr10:115,933,241</t>
  </si>
  <si>
    <t>ATRNL1</t>
  </si>
  <si>
    <t>chr12:49,898,275</t>
  </si>
  <si>
    <t>FAIM2</t>
  </si>
  <si>
    <t>chr11:5,549,471</t>
  </si>
  <si>
    <t>CTD-2643I7.5</t>
  </si>
  <si>
    <t>chr13:28,065,649</t>
  </si>
  <si>
    <t>FLT3</t>
  </si>
  <si>
    <t>chr13:51,348,808</t>
  </si>
  <si>
    <t>SERPINE3</t>
  </si>
  <si>
    <t>chr14:39,033,514</t>
  </si>
  <si>
    <t>SEC23A</t>
  </si>
  <si>
    <t>chr14:56,200,309</t>
  </si>
  <si>
    <t>PELI2</t>
  </si>
  <si>
    <t>chr14:49,725,404</t>
  </si>
  <si>
    <t>KLHDC1</t>
  </si>
  <si>
    <t>chr14:69,313,622</t>
  </si>
  <si>
    <t>GALNT16</t>
  </si>
  <si>
    <t>chr14:99,923,640</t>
  </si>
  <si>
    <t>EML1</t>
  </si>
  <si>
    <t>chr14:72,444,847</t>
  </si>
  <si>
    <t>RGS6</t>
  </si>
  <si>
    <t>chr15:43,580,515</t>
  </si>
  <si>
    <t>PPIP5K1</t>
  </si>
  <si>
    <t>chr15:43,580,446</t>
  </si>
  <si>
    <t>chr16:48,247,413</t>
  </si>
  <si>
    <t>chr17:72,685,370</t>
  </si>
  <si>
    <t>SLC39A11</t>
  </si>
  <si>
    <t>chr17:72,685,322</t>
  </si>
  <si>
    <t>chr17:78,397,290</t>
  </si>
  <si>
    <t>PGS1</t>
  </si>
  <si>
    <t>chr19:5,761,577</t>
  </si>
  <si>
    <t>CATSPERD</t>
  </si>
  <si>
    <t>chr17:81,139,529</t>
  </si>
  <si>
    <t>AATK</t>
  </si>
  <si>
    <t>chr20:64,078,178</t>
  </si>
  <si>
    <t>RGS19</t>
  </si>
  <si>
    <t>chr18:9,809,173</t>
  </si>
  <si>
    <t>RAB31</t>
  </si>
  <si>
    <t>chr21:46,645,269</t>
  </si>
  <si>
    <t>PRMT2</t>
  </si>
  <si>
    <t>chr18:31,940,598</t>
  </si>
  <si>
    <t>TRAPPC8</t>
  </si>
  <si>
    <t>CCDC120</t>
  </si>
  <si>
    <t>chr19:7,211,977</t>
  </si>
  <si>
    <t>INSR</t>
  </si>
  <si>
    <t>chr19:38,750,260</t>
  </si>
  <si>
    <t>CAPN12</t>
  </si>
  <si>
    <t>chr21:46,645,268</t>
  </si>
  <si>
    <t>chr22:40,147,021</t>
  </si>
  <si>
    <t>TNRC6B</t>
  </si>
  <si>
    <t>chrX:105,008,002</t>
  </si>
  <si>
    <t>IL1RAPL2</t>
  </si>
  <si>
    <t>Breakpoint</t>
  </si>
  <si>
    <t>chr1:13152020</t>
  </si>
  <si>
    <t>chr3:75414207</t>
  </si>
  <si>
    <t>chr4:155957294</t>
  </si>
  <si>
    <t>chr5:29069519</t>
  </si>
  <si>
    <t>chr6:32687972</t>
  </si>
  <si>
    <t>chr7:142510779</t>
  </si>
  <si>
    <t>chr10:42170005</t>
  </si>
  <si>
    <t>chr10:65524359</t>
  </si>
  <si>
    <t>chr13:18874744</t>
  </si>
  <si>
    <t>chr13:112195653</t>
  </si>
  <si>
    <t>chr14:106037454</t>
  </si>
  <si>
    <t>chr20:29451701</t>
  </si>
  <si>
    <t>Length [bp]</t>
    <phoneticPr fontId="1"/>
  </si>
  <si>
    <t>total</t>
    <phoneticPr fontId="1"/>
  </si>
  <si>
    <t>Gbp</t>
    <phoneticPr fontId="1"/>
  </si>
  <si>
    <t>Table S1: 108 regions locally assembled in assessment of sequence accuracy of LoMA.</t>
    <phoneticPr fontId="1"/>
  </si>
  <si>
    <t>Poly(A) [bp]</t>
    <phoneticPr fontId="1"/>
  </si>
  <si>
    <t>AHNAK2</t>
    <phoneticPr fontId="1"/>
  </si>
  <si>
    <t>NA18943</t>
    <phoneticPr fontId="1"/>
  </si>
  <si>
    <t>NA19240</t>
    <phoneticPr fontId="1"/>
  </si>
  <si>
    <t>Association with disease/traits</t>
    <phoneticPr fontId="1"/>
  </si>
  <si>
    <t>GOLGA6L2</t>
    <phoneticPr fontId="1"/>
  </si>
  <si>
    <t>References</t>
    <phoneticPr fontId="1"/>
  </si>
  <si>
    <t>Alpha-hydroxybutyric acid levels</t>
    <phoneticPr fontId="1"/>
  </si>
  <si>
    <t>[2] Darcy DG, Chiaroni-Clarke R, Murphy JM, Honeyman JN, Bhanot U, LaQuaglia MP, Simon SM. The genomic landscape of fibrolamellar hepatocellular carcinoma: whole genome sequencing of ten patients. Oncotarget. 2015 Jan 20;6(2):755-70. doi: 10.18632/oncotarget.2712. PMID: 25605237; PMCID: PMC4359253.</t>
    <phoneticPr fontId="1"/>
  </si>
  <si>
    <t>[1] Rajendran BK, Deng CX. Characterization of potential driver mutations involved in human breast cancer by computational approaches. Oncotarget. 2017 Jul 25;8(30):50252-50272. doi: 10.18632/oncotarget.17225. PMID: 28477017; PMCID: PMC5564847.</t>
    <phoneticPr fontId="1"/>
  </si>
  <si>
    <t>NA*</t>
    <phoneticPr fontId="1"/>
  </si>
  <si>
    <t>NA*: Not applicable</t>
    <phoneticPr fontId="1"/>
  </si>
  <si>
    <t>Retinal vascular fractal density, Friedreich ataxia</t>
    <phoneticPr fontId="1"/>
  </si>
  <si>
    <t>Serum levels of protein RLN1</t>
  </si>
  <si>
    <t>TXNDC2</t>
    <phoneticPr fontId="1"/>
  </si>
  <si>
    <t>Hip circumference</t>
    <phoneticPr fontId="1"/>
  </si>
  <si>
    <t>[3] Coşkunpınar, E. &amp; Bozdagı Gunal, O. The Study of Whole Genome Sequencing in Monozygotic Twins with Autism Spectrum Disorder . 2022 August Experimed , 12 (2) , 49-60 . DOI: 10.26650/experimed.1067169</t>
    <phoneticPr fontId="1"/>
  </si>
  <si>
    <t>Response to gemcitabine, Survival in pancreatic cancer</t>
  </si>
  <si>
    <t>Response to gemcitabine, Survival in pancreatic cancer</t>
    <phoneticPr fontId="1"/>
  </si>
  <si>
    <t>NPIPB11</t>
    <phoneticPr fontId="1"/>
  </si>
  <si>
    <t>Nose morphology</t>
    <phoneticPr fontId="1"/>
  </si>
  <si>
    <t>Telomere length</t>
    <phoneticPr fontId="1"/>
  </si>
  <si>
    <t>ZNF709</t>
    <phoneticPr fontId="1"/>
  </si>
  <si>
    <t>Red cell distribution width</t>
    <phoneticPr fontId="1"/>
  </si>
  <si>
    <t>Systolic blood pressure</t>
    <phoneticPr fontId="1"/>
  </si>
  <si>
    <t>Age at menopause</t>
    <phoneticPr fontId="1"/>
  </si>
  <si>
    <t xml:space="preserve">Glomerular filtration rate </t>
    <phoneticPr fontId="1"/>
  </si>
  <si>
    <t>CNTLN</t>
    <phoneticPr fontId="1"/>
  </si>
  <si>
    <t>Cortical surface area</t>
    <phoneticPr fontId="1"/>
  </si>
  <si>
    <t>TEX13D</t>
    <phoneticPr fontId="1"/>
  </si>
  <si>
    <t>Facial morphology</t>
    <phoneticPr fontId="1"/>
  </si>
  <si>
    <t>chr1:28,410,132</t>
    <phoneticPr fontId="1"/>
  </si>
  <si>
    <t>description</t>
    <phoneticPr fontId="1"/>
  </si>
  <si>
    <t>intron</t>
    <phoneticPr fontId="1"/>
  </si>
  <si>
    <t>ABCC11 / LONP2</t>
    <phoneticPr fontId="1"/>
  </si>
  <si>
    <t>chrX:49,069,209</t>
    <phoneticPr fontId="1"/>
  </si>
  <si>
    <t>Source</t>
    <phoneticPr fontId="1"/>
  </si>
  <si>
    <t>GWAS catalog</t>
  </si>
  <si>
    <t>GWAS catalog</t>
    <phoneticPr fontId="1"/>
  </si>
  <si>
    <t>Breast cancer, fibrolamellar hepatocellular carcinoma</t>
    <phoneticPr fontId="1"/>
  </si>
  <si>
    <t>[1], [2]</t>
    <phoneticPr fontId="1"/>
  </si>
  <si>
    <t>Autism Spectrum Disorder</t>
    <phoneticPr fontId="1"/>
  </si>
  <si>
    <t>[3]</t>
    <phoneticPr fontId="1"/>
  </si>
  <si>
    <t>chr2:118148559</t>
    <phoneticPr fontId="1"/>
  </si>
  <si>
    <t>Chromosomal region (left breakpoint)</t>
    <phoneticPr fontId="1"/>
  </si>
  <si>
    <t>chr8:86161679</t>
    <phoneticPr fontId="1"/>
  </si>
  <si>
    <t>chr8:86819205</t>
    <phoneticPr fontId="1"/>
  </si>
  <si>
    <t>CATGCTCAGATGCTGACACC</t>
    <phoneticPr fontId="1"/>
  </si>
  <si>
    <t>chr10:5577040</t>
    <phoneticPr fontId="1"/>
  </si>
  <si>
    <t>GGATACCTTCCACGAGCAAA</t>
    <phoneticPr fontId="1"/>
  </si>
  <si>
    <t>chr11:129889661</t>
    <phoneticPr fontId="1"/>
  </si>
  <si>
    <t>chr13:84813476</t>
    <phoneticPr fontId="1"/>
  </si>
  <si>
    <t>CCTCATCCACCTCAGGGTTA</t>
    <phoneticPr fontId="1"/>
  </si>
  <si>
    <t>chr14:76347432</t>
    <phoneticPr fontId="1"/>
  </si>
  <si>
    <t>AACCAGCATCCGAGTACCTG</t>
    <phoneticPr fontId="1"/>
  </si>
  <si>
    <t>chr15:44209804</t>
    <phoneticPr fontId="1"/>
  </si>
  <si>
    <t>GGGAAACATCTGTGGGAGAA</t>
    <phoneticPr fontId="1"/>
  </si>
  <si>
    <t>chr16:10764848</t>
    <phoneticPr fontId="1"/>
  </si>
  <si>
    <t>ATCCAAGGGGAAACCAAGAC</t>
    <phoneticPr fontId="1"/>
  </si>
  <si>
    <t>chr16:8953827</t>
    <phoneticPr fontId="1"/>
  </si>
  <si>
    <t>GGCATATCATGTGTGCTCCA</t>
    <phoneticPr fontId="1"/>
  </si>
  <si>
    <t>CCATCCTCATGTGGCAATTT</t>
    <phoneticPr fontId="1"/>
  </si>
  <si>
    <t>TGCATTTCAGGGACAGAAAA</t>
    <phoneticPr fontId="1"/>
  </si>
  <si>
    <t>chr19:21707804</t>
    <phoneticPr fontId="1"/>
  </si>
  <si>
    <t>chr19:21720250</t>
    <phoneticPr fontId="1"/>
  </si>
  <si>
    <t>50x</t>
    <phoneticPr fontId="1"/>
  </si>
  <si>
    <t>40x</t>
    <phoneticPr fontId="1"/>
  </si>
  <si>
    <t>30x</t>
    <phoneticPr fontId="1"/>
  </si>
  <si>
    <t>20x</t>
    <phoneticPr fontId="1"/>
  </si>
  <si>
    <t>10x</t>
    <phoneticPr fontId="1"/>
  </si>
  <si>
    <t>chr10:58533974</t>
    <phoneticPr fontId="1"/>
  </si>
  <si>
    <t>chr8:1073437</t>
    <phoneticPr fontId="1"/>
  </si>
  <si>
    <t>chr3:70912590</t>
    <phoneticPr fontId="1"/>
  </si>
  <si>
    <t xml:space="preserve">chrX:44418357 </t>
    <phoneticPr fontId="1"/>
  </si>
  <si>
    <t xml:space="preserve">chr16:27730269 </t>
    <phoneticPr fontId="1"/>
  </si>
  <si>
    <t xml:space="preserve">chr10:93141869 </t>
    <phoneticPr fontId="1"/>
  </si>
  <si>
    <t xml:space="preserve">chr8:66418165 </t>
    <phoneticPr fontId="1"/>
  </si>
  <si>
    <t xml:space="preserve">chr6:127809977 </t>
    <phoneticPr fontId="1"/>
  </si>
  <si>
    <t xml:space="preserve">chr5:71586237 </t>
    <phoneticPr fontId="1"/>
  </si>
  <si>
    <t xml:space="preserve">chr3:180991987 </t>
    <phoneticPr fontId="1"/>
  </si>
  <si>
    <t xml:space="preserve">chr2:164971322 </t>
    <phoneticPr fontId="1"/>
  </si>
  <si>
    <t xml:space="preserve">chr1:112235854 </t>
    <phoneticPr fontId="1"/>
  </si>
  <si>
    <t xml:space="preserve">chr1:100674013 </t>
    <phoneticPr fontId="1"/>
  </si>
  <si>
    <t>Position</t>
    <phoneticPr fontId="1"/>
  </si>
  <si>
    <t>Table S3: Sequencing stats of NA18943.</t>
    <phoneticPr fontId="1"/>
  </si>
  <si>
    <t>Table S4: Summary stats of accuracy comparison.</t>
    <phoneticPr fontId="1"/>
  </si>
  <si>
    <t>Table S5: Primsers designed for PCR validation of heterozygous SVs.</t>
    <phoneticPr fontId="1"/>
  </si>
  <si>
    <t>Table S6: Accuracy validation of LoMA by the Sanger sequencing.</t>
    <phoneticPr fontId="1"/>
  </si>
  <si>
    <t>5'UTR/intron</t>
    <phoneticPr fontId="1"/>
  </si>
  <si>
    <t>3'UTR</t>
    <phoneticPr fontId="1"/>
  </si>
  <si>
    <t>No.</t>
    <phoneticPr fontId="1"/>
  </si>
  <si>
    <t>Position</t>
  </si>
  <si>
    <t>chr1:121468953</t>
    <phoneticPr fontId="1"/>
  </si>
  <si>
    <t>chr1:216216351</t>
    <phoneticPr fontId="1"/>
  </si>
  <si>
    <t>chr1:221362664</t>
    <phoneticPr fontId="1"/>
  </si>
  <si>
    <t>chr1:79097314</t>
    <phoneticPr fontId="1"/>
  </si>
  <si>
    <t>chr1:84011493</t>
    <phoneticPr fontId="1"/>
  </si>
  <si>
    <t>chr2:118124933</t>
    <phoneticPr fontId="1"/>
  </si>
  <si>
    <t>chr2:135709546</t>
    <phoneticPr fontId="1"/>
  </si>
  <si>
    <t>chr2:214514381</t>
    <phoneticPr fontId="1"/>
  </si>
  <si>
    <t>chr2:35675420</t>
    <phoneticPr fontId="1"/>
  </si>
  <si>
    <t>chr2:53060499</t>
    <phoneticPr fontId="1"/>
  </si>
  <si>
    <t>chr2:88248158</t>
    <phoneticPr fontId="1"/>
  </si>
  <si>
    <t>chr3:123217205</t>
    <phoneticPr fontId="1"/>
  </si>
  <si>
    <t>chr3:14065444</t>
    <phoneticPr fontId="1"/>
  </si>
  <si>
    <t>chr3:1650435</t>
    <phoneticPr fontId="1"/>
  </si>
  <si>
    <t>chr3:173541097</t>
    <phoneticPr fontId="1"/>
  </si>
  <si>
    <t>chr4:136055740</t>
    <phoneticPr fontId="1"/>
  </si>
  <si>
    <t>chr4:84029266</t>
    <phoneticPr fontId="1"/>
  </si>
  <si>
    <t>chr5:107893630</t>
    <phoneticPr fontId="1"/>
  </si>
  <si>
    <t>chr5:116524837</t>
    <phoneticPr fontId="1"/>
  </si>
  <si>
    <t>chr5:128858955</t>
    <phoneticPr fontId="1"/>
  </si>
  <si>
    <t>chr5:135901952</t>
    <phoneticPr fontId="1"/>
  </si>
  <si>
    <t>chr5:142729346</t>
    <phoneticPr fontId="1"/>
  </si>
  <si>
    <t>chr5:73110755</t>
    <phoneticPr fontId="1"/>
  </si>
  <si>
    <t>chr5:97570901</t>
    <phoneticPr fontId="1"/>
  </si>
  <si>
    <t>chr6:25135026</t>
    <phoneticPr fontId="1"/>
  </si>
  <si>
    <t>chr6:4514474</t>
    <phoneticPr fontId="1"/>
  </si>
  <si>
    <t>chr6:82091584</t>
    <phoneticPr fontId="1"/>
  </si>
  <si>
    <t>chr6:82811302</t>
    <phoneticPr fontId="1"/>
  </si>
  <si>
    <t>chr7:128032332</t>
    <phoneticPr fontId="1"/>
  </si>
  <si>
    <t>chr7:139144467</t>
    <phoneticPr fontId="1"/>
  </si>
  <si>
    <t>chr7:70905425</t>
    <phoneticPr fontId="1"/>
  </si>
  <si>
    <t>chr7:70914267</t>
    <phoneticPr fontId="1"/>
  </si>
  <si>
    <t>chr8:126202966</t>
    <phoneticPr fontId="1"/>
  </si>
  <si>
    <t>chr8:71236262</t>
    <phoneticPr fontId="1"/>
  </si>
  <si>
    <t>chr8:80249944</t>
    <phoneticPr fontId="1"/>
  </si>
  <si>
    <t>chr9:114143645</t>
    <phoneticPr fontId="1"/>
  </si>
  <si>
    <t>chr9:20561857</t>
    <phoneticPr fontId="1"/>
  </si>
  <si>
    <t>chr10:18962257</t>
    <phoneticPr fontId="1"/>
  </si>
  <si>
    <t>chr10:31657147</t>
    <phoneticPr fontId="1"/>
  </si>
  <si>
    <t>chr10:43959837</t>
    <phoneticPr fontId="1"/>
  </si>
  <si>
    <t>chr10:5591696</t>
    <phoneticPr fontId="1"/>
  </si>
  <si>
    <t>chr11:106693406</t>
    <phoneticPr fontId="1"/>
  </si>
  <si>
    <t>chr11:125216489</t>
    <phoneticPr fontId="1"/>
  </si>
  <si>
    <t>chr11:129877383</t>
    <phoneticPr fontId="1"/>
  </si>
  <si>
    <t>chr11:78314295</t>
    <phoneticPr fontId="1"/>
  </si>
  <si>
    <t>chr12:121859713</t>
    <phoneticPr fontId="1"/>
  </si>
  <si>
    <t>chr12:21430369</t>
    <phoneticPr fontId="1"/>
  </si>
  <si>
    <t>chr13:102323280</t>
    <phoneticPr fontId="1"/>
  </si>
  <si>
    <t>chr13:84848424</t>
    <phoneticPr fontId="1"/>
  </si>
  <si>
    <t>chr14:77800533</t>
    <phoneticPr fontId="1"/>
  </si>
  <si>
    <t>chr15:25302165</t>
    <phoneticPr fontId="1"/>
  </si>
  <si>
    <t>chr15:39271327</t>
    <phoneticPr fontId="1"/>
  </si>
  <si>
    <t>chr15:40040792</t>
    <phoneticPr fontId="1"/>
  </si>
  <si>
    <t>chr15:44219071</t>
    <phoneticPr fontId="1"/>
  </si>
  <si>
    <t>chr16:10745429</t>
    <phoneticPr fontId="1"/>
  </si>
  <si>
    <t>chr16:20623174</t>
    <phoneticPr fontId="1"/>
  </si>
  <si>
    <t>chr16:8941400</t>
    <phoneticPr fontId="1"/>
  </si>
  <si>
    <t>chr17:67806411</t>
    <phoneticPr fontId="1"/>
  </si>
  <si>
    <t>chr18:70637542</t>
    <phoneticPr fontId="1"/>
  </si>
  <si>
    <t>chr19:50977754</t>
    <phoneticPr fontId="1"/>
  </si>
  <si>
    <t>chr20:20749421</t>
    <phoneticPr fontId="1"/>
  </si>
  <si>
    <t>chr21:15761349</t>
    <phoneticPr fontId="1"/>
  </si>
  <si>
    <t>chr22:41296714</t>
    <phoneticPr fontId="1"/>
  </si>
  <si>
    <t>chrX:120008886</t>
    <phoneticPr fontId="1"/>
  </si>
  <si>
    <t>chrX:148484637</t>
    <phoneticPr fontId="1"/>
  </si>
  <si>
    <t>chrX:35788224</t>
    <phoneticPr fontId="1"/>
  </si>
  <si>
    <t>chrX:38732155</t>
    <phoneticPr fontId="1"/>
  </si>
  <si>
    <t>chrX:43052873</t>
    <phoneticPr fontId="1"/>
  </si>
  <si>
    <t>chrX:55441309</t>
    <phoneticPr fontId="1"/>
  </si>
  <si>
    <t>chrX:99313769</t>
    <phoneticPr fontId="1"/>
  </si>
  <si>
    <t xml:space="preserve">chr1:100674013 </t>
  </si>
  <si>
    <t>chr6:16189701</t>
    <phoneticPr fontId="1"/>
  </si>
  <si>
    <t>chr7:26812532</t>
    <phoneticPr fontId="1"/>
  </si>
  <si>
    <t>Table S2: Error rates in simulation for 100 regions.</t>
    <phoneticPr fontId="1"/>
  </si>
  <si>
    <t>Table S9: The insertions mapped to alternative sequences in GRCh38 and unidentified in the standard SV set.</t>
    <phoneticPr fontId="1"/>
  </si>
  <si>
    <t>Table S10: List of genes with exonic TR expansions and association with disease/traits.</t>
    <phoneticPr fontId="1"/>
  </si>
  <si>
    <t>Table S11: List of genes with TDs and occurrence sites.</t>
    <phoneticPr fontId="1"/>
  </si>
  <si>
    <t>20 kbp</t>
    <phoneticPr fontId="1"/>
  </si>
  <si>
    <t>40 kbp</t>
    <phoneticPr fontId="1"/>
  </si>
  <si>
    <t>60 kbp</t>
    <phoneticPr fontId="1"/>
  </si>
  <si>
    <t>80 kbp</t>
    <phoneticPr fontId="1"/>
  </si>
  <si>
    <t>100 kbp</t>
    <phoneticPr fontId="1"/>
  </si>
  <si>
    <t>CPU time (sec) (target size = 20, 40, 60, 80, 100 [kbp], coverage = 30)</t>
    <phoneticPr fontId="1"/>
  </si>
  <si>
    <t>CPU time (sec) (coverage = 10, 20, 30, 40, 50, target size = 20 kbp)</t>
    <phoneticPr fontId="1"/>
  </si>
  <si>
    <t>Error rate (coverage = 10, 20, 30, 40, 50, target size = 20 kbp)</t>
    <phoneticPr fontId="1"/>
  </si>
  <si>
    <t>Peak RSS (GB) (coverage = 10, 20, 30, 40, 50, target size = 20 kbp)</t>
    <phoneticPr fontId="1"/>
  </si>
  <si>
    <t>Peak RSS (GB) (target size = 20, 40, 60, 80, 100 [kbp], coverage = 30)</t>
    <phoneticPr fontId="1"/>
  </si>
  <si>
    <t>Table S8: Peak RSS in simulation for 100 regions.</t>
    <phoneticPr fontId="1"/>
  </si>
  <si>
    <t>Table S7: CPU computation time in simulation for 100 regions.</t>
    <phoneticPr fontId="1"/>
  </si>
  <si>
    <t>134435*</t>
    <phoneticPr fontId="1"/>
  </si>
  <si>
    <t>* The number of total insertion bases in lamassemble includes a few collapsed assemblies.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</si>
</sst>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游ゴシック"/>
      <family val="3"/>
      <charset val="128"/>
    </font>
    <font>
      <sz val="9"/>
      <color rgb="FF000000"/>
      <name val="Arial"/>
      <family val="2"/>
    </font>
    <font>
      <sz val="9"/>
      <color rgb="FF000000"/>
      <name val="Courier"/>
      <family val="1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i/>
      <sz val="9"/>
      <color rgb="FF000000"/>
      <name val="Arial"/>
      <family val="2"/>
    </font>
    <font>
      <sz val="10.5"/>
      <color rgb="FF000000"/>
      <name val="游明朝"/>
      <family val="1"/>
      <charset val="128"/>
    </font>
    <font>
      <b/>
      <sz val="9"/>
      <color rgb="FF000000"/>
      <name val="Arial"/>
      <family val="2"/>
    </font>
    <font>
      <sz val="12"/>
      <color rgb="FF000000"/>
      <name val="游ゴシック"/>
      <family val="3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333333"/>
      <name val="Arial"/>
      <family val="2"/>
    </font>
    <font>
      <sz val="12"/>
      <color rgb="FF212121"/>
      <name val="Arial"/>
      <family val="2"/>
    </font>
    <font>
      <sz val="10"/>
      <color rgb="FF000000"/>
      <name val="Arial"/>
      <family val="2"/>
    </font>
    <font>
      <sz val="9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游ゴシック"/>
      <family val="2"/>
      <charset val="128"/>
      <scheme val="minor"/>
    </font>
    <font>
      <sz val="9"/>
      <color theme="1"/>
      <name val="Arial"/>
      <family val="2"/>
    </font>
    <font>
      <sz val="12"/>
      <color theme="1"/>
      <name val="Menlo Regular"/>
    </font>
    <font>
      <sz val="12"/>
      <color rgb="FF000000"/>
      <name val="Menlo Regular"/>
    </font>
    <font>
      <sz val="12"/>
      <color rgb="FF000000"/>
      <name val="Menlo"/>
      <family val="2"/>
    </font>
    <font>
      <sz val="12"/>
      <color theme="1"/>
      <name val="Menlo"/>
      <family val="2"/>
    </font>
    <font>
      <sz val="11"/>
      <color theme="1"/>
      <name val="Menlo"/>
      <family val="2"/>
    </font>
    <font>
      <sz val="11"/>
      <color rgb="FF000000"/>
      <name val="Menlo"/>
      <family val="2"/>
    </font>
    <font>
      <sz val="12"/>
      <color rgb="FFFF0000"/>
      <name val="Arial"/>
      <family val="2"/>
    </font>
    <font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4" xfId="0" applyFont="1" applyBorder="1">
      <alignment vertical="center"/>
    </xf>
    <xf numFmtId="0" fontId="14" fillId="0" borderId="4" xfId="0" applyFont="1" applyBorder="1">
      <alignment vertical="center"/>
    </xf>
    <xf numFmtId="0" fontId="17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>
      <alignment vertical="center"/>
    </xf>
    <xf numFmtId="0" fontId="20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21" fillId="0" borderId="1" xfId="0" applyFont="1" applyBorder="1">
      <alignment vertical="center"/>
    </xf>
    <xf numFmtId="0" fontId="23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right"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17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horizontal="left" vertical="center"/>
    </xf>
    <xf numFmtId="3" fontId="17" fillId="0" borderId="0" xfId="0" applyNumberFormat="1" applyFont="1">
      <alignment vertical="center"/>
    </xf>
    <xf numFmtId="0" fontId="34" fillId="0" borderId="4" xfId="0" applyFont="1" applyBorder="1">
      <alignment vertical="center"/>
    </xf>
    <xf numFmtId="0" fontId="26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E6FAE-CC53-2C40-A63E-D9C7029B87AE}">
  <dimension ref="A1:M114"/>
  <sheetViews>
    <sheetView tabSelected="1" zoomScale="150" workbookViewId="0">
      <selection activeCell="P10" sqref="P10"/>
    </sheetView>
  </sheetViews>
  <sheetFormatPr baseColWidth="10" defaultRowHeight="20"/>
  <cols>
    <col min="10" max="10" width="11.85546875" customWidth="1"/>
  </cols>
  <sheetData>
    <row r="1" spans="1:13" s="24" customFormat="1" ht="16">
      <c r="A1" s="67" t="s">
        <v>446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21" thickBot="1">
      <c r="A3" s="1"/>
      <c r="B3" s="1"/>
      <c r="C3" s="70" t="s">
        <v>0</v>
      </c>
      <c r="D3" s="70"/>
      <c r="E3" s="70"/>
      <c r="F3" s="70"/>
      <c r="G3" s="70"/>
      <c r="H3" s="70"/>
      <c r="I3" s="33"/>
      <c r="J3" s="70" t="s">
        <v>1</v>
      </c>
      <c r="K3" s="70"/>
      <c r="L3" s="70"/>
      <c r="M3" s="70"/>
    </row>
    <row r="4" spans="1:13">
      <c r="A4" s="68" t="s">
        <v>2</v>
      </c>
      <c r="B4" s="68" t="s">
        <v>3</v>
      </c>
      <c r="C4" s="68" t="s">
        <v>4</v>
      </c>
      <c r="D4" s="68" t="s">
        <v>5</v>
      </c>
      <c r="E4" s="68" t="s">
        <v>6</v>
      </c>
      <c r="F4" s="68" t="s">
        <v>7</v>
      </c>
      <c r="G4" s="68" t="s">
        <v>8</v>
      </c>
      <c r="H4" s="68" t="s">
        <v>9</v>
      </c>
      <c r="I4" s="34"/>
      <c r="J4" s="68" t="s">
        <v>4</v>
      </c>
      <c r="K4" s="68" t="s">
        <v>5</v>
      </c>
      <c r="L4" s="68" t="s">
        <v>6</v>
      </c>
      <c r="M4" s="68" t="s">
        <v>7</v>
      </c>
    </row>
    <row r="5" spans="1:13" ht="21" thickBot="1">
      <c r="A5" s="69"/>
      <c r="B5" s="69"/>
      <c r="C5" s="69"/>
      <c r="D5" s="69"/>
      <c r="E5" s="69"/>
      <c r="F5" s="69"/>
      <c r="G5" s="69"/>
      <c r="H5" s="69"/>
      <c r="I5" s="32"/>
      <c r="J5" s="69"/>
      <c r="K5" s="69"/>
      <c r="L5" s="69"/>
      <c r="M5" s="69"/>
    </row>
    <row r="6" spans="1:13">
      <c r="A6" s="35">
        <v>1</v>
      </c>
      <c r="B6" s="5" t="s">
        <v>10</v>
      </c>
      <c r="C6" s="35">
        <v>0.17</v>
      </c>
      <c r="D6" s="35">
        <v>0.1</v>
      </c>
      <c r="E6" s="35">
        <v>0.09</v>
      </c>
      <c r="F6" s="35">
        <v>0.36</v>
      </c>
      <c r="G6" s="5" t="s">
        <v>11</v>
      </c>
      <c r="H6" s="36"/>
      <c r="I6" s="36"/>
      <c r="J6" s="35">
        <v>17.649999999999999</v>
      </c>
      <c r="K6" s="35">
        <v>0.14000000000000001</v>
      </c>
      <c r="L6" s="35">
        <v>0.06</v>
      </c>
      <c r="M6" s="35">
        <v>17.850000000000001</v>
      </c>
    </row>
    <row r="7" spans="1:13">
      <c r="A7" s="35">
        <v>2</v>
      </c>
      <c r="B7" s="5" t="s">
        <v>12</v>
      </c>
      <c r="C7" s="35">
        <v>0.08</v>
      </c>
      <c r="D7" s="35">
        <v>0.13</v>
      </c>
      <c r="E7" s="35">
        <v>0.21</v>
      </c>
      <c r="F7" s="35">
        <v>0.42</v>
      </c>
      <c r="G7" s="5" t="s">
        <v>11</v>
      </c>
      <c r="H7" s="36"/>
      <c r="I7" s="36"/>
      <c r="J7" s="35">
        <v>0.03</v>
      </c>
      <c r="K7" s="35">
        <v>0.21</v>
      </c>
      <c r="L7" s="35">
        <v>0.17</v>
      </c>
      <c r="M7" s="35">
        <v>0.4</v>
      </c>
    </row>
    <row r="8" spans="1:13">
      <c r="A8" s="35">
        <v>3</v>
      </c>
      <c r="B8" s="5" t="s">
        <v>13</v>
      </c>
      <c r="C8" s="35">
        <v>0.1</v>
      </c>
      <c r="D8" s="35">
        <v>0.08</v>
      </c>
      <c r="E8" s="35">
        <v>0.11</v>
      </c>
      <c r="F8" s="35">
        <v>0.28999999999999998</v>
      </c>
      <c r="G8" s="5" t="s">
        <v>11</v>
      </c>
      <c r="H8" s="36"/>
      <c r="I8" s="36"/>
      <c r="J8" s="35">
        <v>0.04</v>
      </c>
      <c r="K8" s="35">
        <v>0.22</v>
      </c>
      <c r="L8" s="35">
        <v>7.0000000000000007E-2</v>
      </c>
      <c r="M8" s="35">
        <v>0.33</v>
      </c>
    </row>
    <row r="9" spans="1:13">
      <c r="A9" s="35">
        <v>4</v>
      </c>
      <c r="B9" s="5" t="s">
        <v>14</v>
      </c>
      <c r="C9" s="35">
        <v>0.13</v>
      </c>
      <c r="D9" s="35">
        <v>0.1</v>
      </c>
      <c r="E9" s="35">
        <v>0.09</v>
      </c>
      <c r="F9" s="35">
        <v>0.32</v>
      </c>
      <c r="G9" s="5" t="s">
        <v>11</v>
      </c>
      <c r="H9" s="36"/>
      <c r="I9" s="36"/>
      <c r="J9" s="35">
        <v>3.9</v>
      </c>
      <c r="K9" s="35">
        <v>0.2</v>
      </c>
      <c r="L9" s="35">
        <v>0.06</v>
      </c>
      <c r="M9" s="35">
        <v>4.16</v>
      </c>
    </row>
    <row r="10" spans="1:13">
      <c r="A10" s="35">
        <v>5</v>
      </c>
      <c r="B10" s="5" t="s">
        <v>15</v>
      </c>
      <c r="C10" s="35">
        <v>0.13</v>
      </c>
      <c r="D10" s="35">
        <v>0.13</v>
      </c>
      <c r="E10" s="35">
        <v>0.2</v>
      </c>
      <c r="F10" s="35">
        <v>0.45</v>
      </c>
      <c r="G10" s="5" t="s">
        <v>11</v>
      </c>
      <c r="H10" s="36"/>
      <c r="I10" s="36"/>
      <c r="J10" s="35">
        <v>0.02</v>
      </c>
      <c r="K10" s="35">
        <v>0.23</v>
      </c>
      <c r="L10" s="35">
        <v>0.09</v>
      </c>
      <c r="M10" s="35">
        <v>0.34</v>
      </c>
    </row>
    <row r="11" spans="1:13">
      <c r="A11" s="35">
        <v>6</v>
      </c>
      <c r="B11" s="5" t="s">
        <v>16</v>
      </c>
      <c r="C11" s="35">
        <v>0.22</v>
      </c>
      <c r="D11" s="35">
        <v>0.18</v>
      </c>
      <c r="E11" s="35">
        <v>0.19</v>
      </c>
      <c r="F11" s="35">
        <v>0.59</v>
      </c>
      <c r="G11" s="5" t="s">
        <v>11</v>
      </c>
      <c r="H11" s="36"/>
      <c r="I11" s="36"/>
      <c r="J11" s="35">
        <v>0.02</v>
      </c>
      <c r="K11" s="35">
        <v>0.28999999999999998</v>
      </c>
      <c r="L11" s="35">
        <v>0.14000000000000001</v>
      </c>
      <c r="M11" s="35">
        <v>0.45</v>
      </c>
    </row>
    <row r="12" spans="1:13">
      <c r="A12" s="35">
        <v>7</v>
      </c>
      <c r="B12" s="5" t="s">
        <v>17</v>
      </c>
      <c r="C12" s="35">
        <v>0.2</v>
      </c>
      <c r="D12" s="35">
        <v>0.09</v>
      </c>
      <c r="E12" s="35">
        <v>0.1</v>
      </c>
      <c r="F12" s="35">
        <v>0.39</v>
      </c>
      <c r="G12" s="5" t="s">
        <v>11</v>
      </c>
      <c r="H12" s="36"/>
      <c r="I12" s="36"/>
      <c r="J12" s="35">
        <v>0.13</v>
      </c>
      <c r="K12" s="35">
        <v>0.2</v>
      </c>
      <c r="L12" s="35">
        <v>7.0000000000000007E-2</v>
      </c>
      <c r="M12" s="35">
        <v>0.39</v>
      </c>
    </row>
    <row r="13" spans="1:13">
      <c r="A13" s="35">
        <v>8</v>
      </c>
      <c r="B13" s="5" t="s">
        <v>18</v>
      </c>
      <c r="C13" s="35">
        <v>0.26</v>
      </c>
      <c r="D13" s="35">
        <v>0.08</v>
      </c>
      <c r="E13" s="35">
        <v>0.13</v>
      </c>
      <c r="F13" s="35">
        <v>0.46</v>
      </c>
      <c r="G13" s="5" t="s">
        <v>11</v>
      </c>
      <c r="H13" s="36"/>
      <c r="I13" s="36"/>
      <c r="J13" s="35">
        <v>2.11</v>
      </c>
      <c r="K13" s="35">
        <v>0.19</v>
      </c>
      <c r="L13" s="35">
        <v>0.11</v>
      </c>
      <c r="M13" s="35">
        <v>2.41</v>
      </c>
    </row>
    <row r="14" spans="1:13">
      <c r="A14" s="35">
        <v>9</v>
      </c>
      <c r="B14" s="5" t="s">
        <v>19</v>
      </c>
      <c r="C14" s="35">
        <v>0.3</v>
      </c>
      <c r="D14" s="35">
        <v>0.54</v>
      </c>
      <c r="E14" s="35">
        <v>0.09</v>
      </c>
      <c r="F14" s="35">
        <v>0.92</v>
      </c>
      <c r="G14" s="5" t="s">
        <v>20</v>
      </c>
      <c r="H14" s="5" t="s">
        <v>21</v>
      </c>
      <c r="I14" s="5"/>
      <c r="J14" s="35">
        <v>4.51</v>
      </c>
      <c r="K14" s="35">
        <v>0.61</v>
      </c>
      <c r="L14" s="35">
        <v>0.05</v>
      </c>
      <c r="M14" s="35">
        <v>5.17</v>
      </c>
    </row>
    <row r="15" spans="1:13">
      <c r="A15" s="35">
        <v>10</v>
      </c>
      <c r="B15" s="5" t="s">
        <v>22</v>
      </c>
      <c r="C15" s="35">
        <v>0.25</v>
      </c>
      <c r="D15" s="35">
        <v>0.16</v>
      </c>
      <c r="E15" s="35">
        <v>0.15</v>
      </c>
      <c r="F15" s="35">
        <v>0.56000000000000005</v>
      </c>
      <c r="G15" s="5" t="s">
        <v>11</v>
      </c>
      <c r="H15" s="36"/>
      <c r="I15" s="36"/>
      <c r="J15" s="35">
        <v>0.04</v>
      </c>
      <c r="K15" s="35">
        <v>0.32</v>
      </c>
      <c r="L15" s="35">
        <v>0.09</v>
      </c>
      <c r="M15" s="35">
        <v>0.45</v>
      </c>
    </row>
    <row r="16" spans="1:13">
      <c r="A16" s="35">
        <v>11</v>
      </c>
      <c r="B16" s="5" t="s">
        <v>23</v>
      </c>
      <c r="C16" s="35">
        <v>7.0000000000000007E-2</v>
      </c>
      <c r="D16" s="35">
        <v>0.15</v>
      </c>
      <c r="E16" s="35">
        <v>0.15</v>
      </c>
      <c r="F16" s="35">
        <v>0.37</v>
      </c>
      <c r="G16" s="5" t="s">
        <v>11</v>
      </c>
      <c r="H16" s="36"/>
      <c r="I16" s="36"/>
      <c r="J16" s="35">
        <v>5.07</v>
      </c>
      <c r="K16" s="35">
        <v>0.31</v>
      </c>
      <c r="L16" s="35">
        <v>0.11</v>
      </c>
      <c r="M16" s="35">
        <v>5.49</v>
      </c>
    </row>
    <row r="17" spans="1:13">
      <c r="A17" s="35">
        <v>12</v>
      </c>
      <c r="B17" s="5" t="s">
        <v>24</v>
      </c>
      <c r="C17" s="35">
        <v>0.18</v>
      </c>
      <c r="D17" s="35">
        <v>0.17</v>
      </c>
      <c r="E17" s="35">
        <v>0.21</v>
      </c>
      <c r="F17" s="35">
        <v>0.56000000000000005</v>
      </c>
      <c r="G17" s="5" t="s">
        <v>11</v>
      </c>
      <c r="H17" s="36"/>
      <c r="I17" s="36"/>
      <c r="J17" s="35">
        <v>0.06</v>
      </c>
      <c r="K17" s="35">
        <v>0.3</v>
      </c>
      <c r="L17" s="35">
        <v>0.18</v>
      </c>
      <c r="M17" s="35">
        <v>0.54</v>
      </c>
    </row>
    <row r="18" spans="1:13">
      <c r="A18" s="35">
        <v>13</v>
      </c>
      <c r="B18" s="5" t="s">
        <v>25</v>
      </c>
      <c r="C18" s="35">
        <v>0.08</v>
      </c>
      <c r="D18" s="35">
        <v>0.13</v>
      </c>
      <c r="E18" s="35">
        <v>0.08</v>
      </c>
      <c r="F18" s="35">
        <v>0.28000000000000003</v>
      </c>
      <c r="G18" s="5" t="s">
        <v>11</v>
      </c>
      <c r="H18" s="36"/>
      <c r="I18" s="36"/>
      <c r="J18" s="35">
        <v>0.01</v>
      </c>
      <c r="K18" s="35">
        <v>0.2</v>
      </c>
      <c r="L18" s="35">
        <v>0.03</v>
      </c>
      <c r="M18" s="35">
        <v>0.25</v>
      </c>
    </row>
    <row r="19" spans="1:13">
      <c r="A19" s="35">
        <v>14</v>
      </c>
      <c r="B19" s="5" t="s">
        <v>26</v>
      </c>
      <c r="C19" s="35">
        <v>0.28999999999999998</v>
      </c>
      <c r="D19" s="35">
        <v>0.17</v>
      </c>
      <c r="E19" s="35">
        <v>0.17</v>
      </c>
      <c r="F19" s="35">
        <v>0.64</v>
      </c>
      <c r="G19" s="5" t="s">
        <v>11</v>
      </c>
      <c r="H19" s="36"/>
      <c r="I19" s="36"/>
      <c r="J19" s="35">
        <v>0.16</v>
      </c>
      <c r="K19" s="35">
        <v>0.28999999999999998</v>
      </c>
      <c r="L19" s="35">
        <v>0.11</v>
      </c>
      <c r="M19" s="35">
        <v>0.56999999999999995</v>
      </c>
    </row>
    <row r="20" spans="1:13">
      <c r="A20" s="35">
        <v>15</v>
      </c>
      <c r="B20" s="5" t="s">
        <v>27</v>
      </c>
      <c r="C20" s="35">
        <v>0.14000000000000001</v>
      </c>
      <c r="D20" s="35">
        <v>0.08</v>
      </c>
      <c r="E20" s="35">
        <v>0.06</v>
      </c>
      <c r="F20" s="35">
        <v>0.28999999999999998</v>
      </c>
      <c r="G20" s="5" t="s">
        <v>11</v>
      </c>
      <c r="H20" s="36"/>
      <c r="I20" s="36"/>
      <c r="J20" s="35">
        <v>1.5</v>
      </c>
      <c r="K20" s="35">
        <v>0.22</v>
      </c>
      <c r="L20" s="35">
        <v>0.02</v>
      </c>
      <c r="M20" s="35">
        <v>1.74</v>
      </c>
    </row>
    <row r="21" spans="1:13">
      <c r="A21" s="35">
        <v>16</v>
      </c>
      <c r="B21" s="5" t="s">
        <v>28</v>
      </c>
      <c r="C21" s="35">
        <v>0.15</v>
      </c>
      <c r="D21" s="35">
        <v>0.11</v>
      </c>
      <c r="E21" s="35">
        <v>0.11</v>
      </c>
      <c r="F21" s="35">
        <v>0.38</v>
      </c>
      <c r="G21" s="5" t="s">
        <v>11</v>
      </c>
      <c r="H21" s="36"/>
      <c r="I21" s="36"/>
      <c r="J21" s="35">
        <v>0.05</v>
      </c>
      <c r="K21" s="35">
        <v>0.22</v>
      </c>
      <c r="L21" s="35">
        <v>0.09</v>
      </c>
      <c r="M21" s="35">
        <v>0.36</v>
      </c>
    </row>
    <row r="22" spans="1:13">
      <c r="A22" s="35">
        <v>17</v>
      </c>
      <c r="B22" s="5" t="s">
        <v>29</v>
      </c>
      <c r="C22" s="35">
        <v>0.22</v>
      </c>
      <c r="D22" s="35">
        <v>0.17</v>
      </c>
      <c r="E22" s="35">
        <v>0.08</v>
      </c>
      <c r="F22" s="35">
        <v>0.47</v>
      </c>
      <c r="G22" s="5" t="s">
        <v>11</v>
      </c>
      <c r="H22" s="36"/>
      <c r="I22" s="36"/>
      <c r="J22" s="35">
        <v>0.08</v>
      </c>
      <c r="K22" s="35">
        <v>0.31</v>
      </c>
      <c r="L22" s="35">
        <v>0.04</v>
      </c>
      <c r="M22" s="35">
        <v>0.43</v>
      </c>
    </row>
    <row r="23" spans="1:13">
      <c r="A23" s="35">
        <v>18</v>
      </c>
      <c r="B23" s="5" t="s">
        <v>30</v>
      </c>
      <c r="C23" s="35">
        <v>1.25</v>
      </c>
      <c r="D23" s="35">
        <v>0.3</v>
      </c>
      <c r="E23" s="35">
        <v>0.73</v>
      </c>
      <c r="F23" s="35">
        <v>2.2799999999999998</v>
      </c>
      <c r="G23" s="5" t="s">
        <v>11</v>
      </c>
      <c r="H23" s="36"/>
      <c r="I23" s="36"/>
      <c r="J23" s="35">
        <v>20.7</v>
      </c>
      <c r="K23" s="35">
        <v>0.15</v>
      </c>
      <c r="L23" s="35">
        <v>0.03</v>
      </c>
      <c r="M23" s="35">
        <v>20.89</v>
      </c>
    </row>
    <row r="24" spans="1:13">
      <c r="A24" s="35">
        <v>19</v>
      </c>
      <c r="B24" s="5" t="s">
        <v>31</v>
      </c>
      <c r="C24" s="35">
        <v>0.15</v>
      </c>
      <c r="D24" s="35">
        <v>0.76</v>
      </c>
      <c r="E24" s="35">
        <v>0.27</v>
      </c>
      <c r="F24" s="35">
        <v>1.18</v>
      </c>
      <c r="G24" s="5" t="s">
        <v>11</v>
      </c>
      <c r="H24" s="36"/>
      <c r="I24" s="36"/>
      <c r="J24" s="35">
        <v>1.77</v>
      </c>
      <c r="K24" s="35">
        <v>0.88</v>
      </c>
      <c r="L24" s="35">
        <v>0.24</v>
      </c>
      <c r="M24" s="35">
        <v>2.89</v>
      </c>
    </row>
    <row r="25" spans="1:13">
      <c r="A25" s="35">
        <v>20</v>
      </c>
      <c r="B25" s="5" t="s">
        <v>32</v>
      </c>
      <c r="C25" s="35">
        <v>0.17</v>
      </c>
      <c r="D25" s="35">
        <v>0.11</v>
      </c>
      <c r="E25" s="35">
        <v>0.08</v>
      </c>
      <c r="F25" s="35">
        <v>0.37</v>
      </c>
      <c r="G25" s="5" t="s">
        <v>11</v>
      </c>
      <c r="H25" s="36"/>
      <c r="I25" s="36"/>
      <c r="J25" s="35">
        <v>2.92</v>
      </c>
      <c r="K25" s="35">
        <v>0.27</v>
      </c>
      <c r="L25" s="35">
        <v>0</v>
      </c>
      <c r="M25" s="35">
        <v>3.2</v>
      </c>
    </row>
    <row r="26" spans="1:13">
      <c r="A26" s="35">
        <v>21</v>
      </c>
      <c r="B26" s="5" t="s">
        <v>33</v>
      </c>
      <c r="C26" s="35">
        <v>0.27</v>
      </c>
      <c r="D26" s="35">
        <v>0.2</v>
      </c>
      <c r="E26" s="35">
        <v>0.19</v>
      </c>
      <c r="F26" s="35">
        <v>0.66</v>
      </c>
      <c r="G26" s="5" t="s">
        <v>11</v>
      </c>
      <c r="H26" s="36"/>
      <c r="I26" s="36"/>
      <c r="J26" s="35">
        <v>0.15</v>
      </c>
      <c r="K26" s="35">
        <v>0.3</v>
      </c>
      <c r="L26" s="35">
        <v>0.14000000000000001</v>
      </c>
      <c r="M26" s="35">
        <v>0.59</v>
      </c>
    </row>
    <row r="27" spans="1:13">
      <c r="A27" s="35">
        <v>22</v>
      </c>
      <c r="B27" s="5" t="s">
        <v>34</v>
      </c>
      <c r="C27" s="35">
        <v>0.1</v>
      </c>
      <c r="D27" s="35">
        <v>0.12</v>
      </c>
      <c r="E27" s="35">
        <v>0.06</v>
      </c>
      <c r="F27" s="35">
        <v>0.28999999999999998</v>
      </c>
      <c r="G27" s="5" t="s">
        <v>11</v>
      </c>
      <c r="H27" s="36"/>
      <c r="I27" s="36"/>
      <c r="J27" s="35">
        <v>0</v>
      </c>
      <c r="K27" s="35">
        <v>0.27</v>
      </c>
      <c r="L27" s="35">
        <v>0.01</v>
      </c>
      <c r="M27" s="35">
        <v>0.28000000000000003</v>
      </c>
    </row>
    <row r="28" spans="1:13">
      <c r="A28" s="35">
        <v>23</v>
      </c>
      <c r="B28" s="5" t="s">
        <v>35</v>
      </c>
      <c r="C28" s="35">
        <v>1.65</v>
      </c>
      <c r="D28" s="35">
        <v>0.27</v>
      </c>
      <c r="E28" s="35">
        <v>0.36</v>
      </c>
      <c r="F28" s="35">
        <v>2.2799999999999998</v>
      </c>
      <c r="G28" s="5" t="s">
        <v>11</v>
      </c>
      <c r="H28" s="36"/>
      <c r="I28" s="36"/>
      <c r="J28" s="35">
        <v>0.14000000000000001</v>
      </c>
      <c r="K28" s="35">
        <v>0.34</v>
      </c>
      <c r="L28" s="35">
        <v>0.12</v>
      </c>
      <c r="M28" s="35">
        <v>0.6</v>
      </c>
    </row>
    <row r="29" spans="1:13">
      <c r="A29" s="35">
        <v>24</v>
      </c>
      <c r="B29" s="5" t="s">
        <v>36</v>
      </c>
      <c r="C29" s="35">
        <v>0.1</v>
      </c>
      <c r="D29" s="35">
        <v>0.54</v>
      </c>
      <c r="E29" s="35">
        <v>0.13</v>
      </c>
      <c r="F29" s="35">
        <v>0.77</v>
      </c>
      <c r="G29" s="5" t="s">
        <v>11</v>
      </c>
      <c r="H29" s="36"/>
      <c r="I29" s="36"/>
      <c r="J29" s="35">
        <v>18.670000000000002</v>
      </c>
      <c r="K29" s="35">
        <v>0.56000000000000005</v>
      </c>
      <c r="L29" s="35">
        <v>0.05</v>
      </c>
      <c r="M29" s="35">
        <v>19.28</v>
      </c>
    </row>
    <row r="30" spans="1:13">
      <c r="A30" s="35">
        <v>25</v>
      </c>
      <c r="B30" s="5" t="s">
        <v>37</v>
      </c>
      <c r="C30" s="35">
        <v>0.21</v>
      </c>
      <c r="D30" s="35">
        <v>0.11</v>
      </c>
      <c r="E30" s="35">
        <v>0.21</v>
      </c>
      <c r="F30" s="35">
        <v>0.54</v>
      </c>
      <c r="G30" s="5" t="s">
        <v>11</v>
      </c>
      <c r="H30" s="36"/>
      <c r="I30" s="36"/>
      <c r="J30" s="35">
        <v>0.06</v>
      </c>
      <c r="K30" s="35">
        <v>0.19</v>
      </c>
      <c r="L30" s="35">
        <v>0.17</v>
      </c>
      <c r="M30" s="35">
        <v>0.41</v>
      </c>
    </row>
    <row r="31" spans="1:13">
      <c r="A31" s="35">
        <v>26</v>
      </c>
      <c r="B31" s="5" t="s">
        <v>38</v>
      </c>
      <c r="C31" s="35">
        <v>0.09</v>
      </c>
      <c r="D31" s="35">
        <v>0.08</v>
      </c>
      <c r="E31" s="35">
        <v>0.09</v>
      </c>
      <c r="F31" s="35">
        <v>0.25</v>
      </c>
      <c r="G31" s="5" t="s">
        <v>11</v>
      </c>
      <c r="H31" s="36"/>
      <c r="I31" s="36"/>
      <c r="J31" s="35">
        <v>0.02</v>
      </c>
      <c r="K31" s="35">
        <v>0.24</v>
      </c>
      <c r="L31" s="35">
        <v>0.06</v>
      </c>
      <c r="M31" s="35">
        <v>0.32</v>
      </c>
    </row>
    <row r="32" spans="1:13">
      <c r="A32" s="35">
        <v>27</v>
      </c>
      <c r="B32" s="5" t="s">
        <v>39</v>
      </c>
      <c r="C32" s="35">
        <v>0.15</v>
      </c>
      <c r="D32" s="35">
        <v>0.09</v>
      </c>
      <c r="E32" s="35">
        <v>0.12</v>
      </c>
      <c r="F32" s="35">
        <v>0.36</v>
      </c>
      <c r="G32" s="5" t="s">
        <v>11</v>
      </c>
      <c r="H32" s="36"/>
      <c r="I32" s="36"/>
      <c r="J32" s="35">
        <v>0.02</v>
      </c>
      <c r="K32" s="35">
        <v>0.23</v>
      </c>
      <c r="L32" s="35">
        <v>0.09</v>
      </c>
      <c r="M32" s="35">
        <v>0.34</v>
      </c>
    </row>
    <row r="33" spans="1:13">
      <c r="A33" s="35">
        <v>28</v>
      </c>
      <c r="B33" s="5" t="s">
        <v>40</v>
      </c>
      <c r="C33" s="35">
        <v>1.08</v>
      </c>
      <c r="D33" s="35">
        <v>0.18</v>
      </c>
      <c r="E33" s="35">
        <v>0.56000000000000005</v>
      </c>
      <c r="F33" s="35">
        <v>1.83</v>
      </c>
      <c r="G33" s="5" t="s">
        <v>11</v>
      </c>
      <c r="H33" s="36"/>
      <c r="I33" s="36"/>
      <c r="J33" s="35">
        <v>2.3199999999999998</v>
      </c>
      <c r="K33" s="35">
        <v>0.24</v>
      </c>
      <c r="L33" s="35">
        <v>0.13</v>
      </c>
      <c r="M33" s="35">
        <v>2.68</v>
      </c>
    </row>
    <row r="34" spans="1:13">
      <c r="A34" s="35">
        <v>29</v>
      </c>
      <c r="B34" s="5" t="s">
        <v>41</v>
      </c>
      <c r="C34" s="35">
        <v>0.15</v>
      </c>
      <c r="D34" s="35">
        <v>0.13</v>
      </c>
      <c r="E34" s="35">
        <v>0.11</v>
      </c>
      <c r="F34" s="35">
        <v>0.38</v>
      </c>
      <c r="G34" s="5" t="s">
        <v>11</v>
      </c>
      <c r="H34" s="36"/>
      <c r="I34" s="36"/>
      <c r="J34" s="35">
        <v>0</v>
      </c>
      <c r="K34" s="35">
        <v>0.22</v>
      </c>
      <c r="L34" s="35">
        <v>0.02</v>
      </c>
      <c r="M34" s="35">
        <v>0.23</v>
      </c>
    </row>
    <row r="35" spans="1:13">
      <c r="A35" s="35">
        <v>30</v>
      </c>
      <c r="B35" s="5" t="s">
        <v>42</v>
      </c>
      <c r="C35" s="35">
        <v>0.11</v>
      </c>
      <c r="D35" s="35">
        <v>0.57999999999999996</v>
      </c>
      <c r="E35" s="35">
        <v>0.11</v>
      </c>
      <c r="F35" s="35">
        <v>0.8</v>
      </c>
      <c r="G35" s="5" t="s">
        <v>11</v>
      </c>
      <c r="H35" s="36"/>
      <c r="I35" s="36"/>
      <c r="J35" s="35">
        <v>0.08</v>
      </c>
      <c r="K35" s="35">
        <v>0.68</v>
      </c>
      <c r="L35" s="35">
        <v>0.08</v>
      </c>
      <c r="M35" s="35">
        <v>0.83</v>
      </c>
    </row>
    <row r="36" spans="1:13">
      <c r="A36" s="35">
        <v>31</v>
      </c>
      <c r="B36" s="5" t="s">
        <v>43</v>
      </c>
      <c r="C36" s="35">
        <v>0.51</v>
      </c>
      <c r="D36" s="35">
        <v>0.22</v>
      </c>
      <c r="E36" s="35">
        <v>0.27</v>
      </c>
      <c r="F36" s="35">
        <v>1</v>
      </c>
      <c r="G36" s="5" t="s">
        <v>11</v>
      </c>
      <c r="H36" s="36"/>
      <c r="I36" s="36"/>
      <c r="J36" s="35">
        <v>0.05</v>
      </c>
      <c r="K36" s="35">
        <v>0.22</v>
      </c>
      <c r="L36" s="35">
        <v>0.12</v>
      </c>
      <c r="M36" s="35">
        <v>0.39</v>
      </c>
    </row>
    <row r="37" spans="1:13">
      <c r="A37" s="35">
        <v>32</v>
      </c>
      <c r="B37" s="5" t="s">
        <v>44</v>
      </c>
      <c r="C37" s="35">
        <v>0.09</v>
      </c>
      <c r="D37" s="35">
        <v>0.13</v>
      </c>
      <c r="E37" s="35">
        <v>0.13</v>
      </c>
      <c r="F37" s="35">
        <v>0.34</v>
      </c>
      <c r="G37" s="5" t="s">
        <v>11</v>
      </c>
      <c r="H37" s="36"/>
      <c r="I37" s="36"/>
      <c r="J37" s="35">
        <v>0</v>
      </c>
      <c r="K37" s="35">
        <v>0.24</v>
      </c>
      <c r="L37" s="35">
        <v>0.03</v>
      </c>
      <c r="M37" s="35">
        <v>0.27</v>
      </c>
    </row>
    <row r="38" spans="1:13">
      <c r="A38" s="35">
        <v>33</v>
      </c>
      <c r="B38" s="5" t="s">
        <v>45</v>
      </c>
      <c r="C38" s="35">
        <v>0.76</v>
      </c>
      <c r="D38" s="35">
        <v>0.14000000000000001</v>
      </c>
      <c r="E38" s="35">
        <v>0.28000000000000003</v>
      </c>
      <c r="F38" s="35">
        <v>1.18</v>
      </c>
      <c r="G38" s="5" t="s">
        <v>11</v>
      </c>
      <c r="H38" s="36"/>
      <c r="I38" s="36"/>
      <c r="J38" s="35">
        <v>0.47</v>
      </c>
      <c r="K38" s="35">
        <v>0.21</v>
      </c>
      <c r="L38" s="35">
        <v>0.11</v>
      </c>
      <c r="M38" s="35">
        <v>0.79</v>
      </c>
    </row>
    <row r="39" spans="1:13">
      <c r="A39" s="35">
        <v>34</v>
      </c>
      <c r="B39" s="5" t="s">
        <v>46</v>
      </c>
      <c r="C39" s="35">
        <v>0.23</v>
      </c>
      <c r="D39" s="35">
        <v>0.11</v>
      </c>
      <c r="E39" s="35">
        <v>0.2</v>
      </c>
      <c r="F39" s="35">
        <v>0.54</v>
      </c>
      <c r="G39" s="5" t="s">
        <v>11</v>
      </c>
      <c r="H39" s="36"/>
      <c r="I39" s="36"/>
      <c r="J39" s="35">
        <v>0.05</v>
      </c>
      <c r="K39" s="35">
        <v>0.32</v>
      </c>
      <c r="L39" s="35">
        <v>0.16</v>
      </c>
      <c r="M39" s="35">
        <v>0.53</v>
      </c>
    </row>
    <row r="40" spans="1:13">
      <c r="A40" s="35">
        <v>35</v>
      </c>
      <c r="B40" s="5" t="s">
        <v>47</v>
      </c>
      <c r="C40" s="35">
        <v>0.09</v>
      </c>
      <c r="D40" s="35">
        <v>0.14000000000000001</v>
      </c>
      <c r="E40" s="35">
        <v>0.08</v>
      </c>
      <c r="F40" s="35">
        <v>0.31</v>
      </c>
      <c r="G40" s="5" t="s">
        <v>11</v>
      </c>
      <c r="H40" s="36"/>
      <c r="I40" s="36"/>
      <c r="J40" s="35">
        <v>0.01</v>
      </c>
      <c r="K40" s="35">
        <v>0.33</v>
      </c>
      <c r="L40" s="35">
        <v>0.06</v>
      </c>
      <c r="M40" s="35">
        <v>0.41</v>
      </c>
    </row>
    <row r="41" spans="1:13">
      <c r="A41" s="35">
        <v>36</v>
      </c>
      <c r="B41" s="5" t="s">
        <v>48</v>
      </c>
      <c r="C41" s="35">
        <v>0.22</v>
      </c>
      <c r="D41" s="35">
        <v>0.11</v>
      </c>
      <c r="E41" s="35">
        <v>0.19</v>
      </c>
      <c r="F41" s="35">
        <v>0.52</v>
      </c>
      <c r="G41" s="5" t="s">
        <v>11</v>
      </c>
      <c r="H41" s="36"/>
      <c r="I41" s="36"/>
      <c r="J41" s="35">
        <v>1.86</v>
      </c>
      <c r="K41" s="35">
        <v>0.21</v>
      </c>
      <c r="L41" s="35">
        <v>0.08</v>
      </c>
      <c r="M41" s="35">
        <v>2.15</v>
      </c>
    </row>
    <row r="42" spans="1:13">
      <c r="A42" s="35">
        <v>37</v>
      </c>
      <c r="B42" s="5" t="s">
        <v>49</v>
      </c>
      <c r="C42" s="35">
        <v>0.1</v>
      </c>
      <c r="D42" s="35">
        <v>7.0000000000000007E-2</v>
      </c>
      <c r="E42" s="35">
        <v>0.11</v>
      </c>
      <c r="F42" s="35">
        <v>0.28000000000000003</v>
      </c>
      <c r="G42" s="5" t="s">
        <v>11</v>
      </c>
      <c r="H42" s="36"/>
      <c r="I42" s="36"/>
      <c r="J42" s="35">
        <v>0.05</v>
      </c>
      <c r="K42" s="35">
        <v>0.21</v>
      </c>
      <c r="L42" s="35">
        <v>0.1</v>
      </c>
      <c r="M42" s="35">
        <v>0.36</v>
      </c>
    </row>
    <row r="43" spans="1:13">
      <c r="A43" s="35">
        <v>38</v>
      </c>
      <c r="B43" s="5" t="s">
        <v>50</v>
      </c>
      <c r="C43" s="35">
        <v>0.03</v>
      </c>
      <c r="D43" s="35">
        <v>0.08</v>
      </c>
      <c r="E43" s="35">
        <v>0.02</v>
      </c>
      <c r="F43" s="35">
        <v>0.14000000000000001</v>
      </c>
      <c r="G43" s="5" t="s">
        <v>11</v>
      </c>
      <c r="H43" s="36"/>
      <c r="I43" s="36"/>
      <c r="J43" s="35">
        <v>0</v>
      </c>
      <c r="K43" s="35">
        <v>0.21</v>
      </c>
      <c r="L43" s="35">
        <v>0.01</v>
      </c>
      <c r="M43" s="35">
        <v>0.22</v>
      </c>
    </row>
    <row r="44" spans="1:13">
      <c r="A44" s="35">
        <v>39</v>
      </c>
      <c r="B44" s="5" t="s">
        <v>51</v>
      </c>
      <c r="C44" s="35">
        <v>7.0000000000000007E-2</v>
      </c>
      <c r="D44" s="35">
        <v>0.11</v>
      </c>
      <c r="E44" s="35">
        <v>0.08</v>
      </c>
      <c r="F44" s="35">
        <v>0.26</v>
      </c>
      <c r="G44" s="5" t="s">
        <v>11</v>
      </c>
      <c r="H44" s="36"/>
      <c r="I44" s="36"/>
      <c r="J44" s="35">
        <v>0.03</v>
      </c>
      <c r="K44" s="35">
        <v>0.23</v>
      </c>
      <c r="L44" s="35">
        <v>0.1</v>
      </c>
      <c r="M44" s="35">
        <v>0.37</v>
      </c>
    </row>
    <row r="45" spans="1:13">
      <c r="A45" s="35">
        <v>40</v>
      </c>
      <c r="B45" s="5" t="s">
        <v>52</v>
      </c>
      <c r="C45" s="35">
        <v>0.05</v>
      </c>
      <c r="D45" s="35">
        <v>0.13</v>
      </c>
      <c r="E45" s="35">
        <v>0.06</v>
      </c>
      <c r="F45" s="35">
        <v>0.23</v>
      </c>
      <c r="G45" s="5" t="s">
        <v>11</v>
      </c>
      <c r="H45" s="36"/>
      <c r="I45" s="36"/>
      <c r="J45" s="35">
        <v>0.01</v>
      </c>
      <c r="K45" s="35">
        <v>0.24</v>
      </c>
      <c r="L45" s="35">
        <v>0.01</v>
      </c>
      <c r="M45" s="35">
        <v>0.26</v>
      </c>
    </row>
    <row r="46" spans="1:13">
      <c r="A46" s="35">
        <v>41</v>
      </c>
      <c r="B46" s="5" t="s">
        <v>53</v>
      </c>
      <c r="C46" s="35">
        <v>0.28000000000000003</v>
      </c>
      <c r="D46" s="35">
        <v>0.22</v>
      </c>
      <c r="E46" s="35">
        <v>0.22</v>
      </c>
      <c r="F46" s="35">
        <v>0.73</v>
      </c>
      <c r="G46" s="5" t="s">
        <v>11</v>
      </c>
      <c r="H46" s="36"/>
      <c r="I46" s="36"/>
      <c r="J46" s="35">
        <v>0.04</v>
      </c>
      <c r="K46" s="35">
        <v>0.28999999999999998</v>
      </c>
      <c r="L46" s="35">
        <v>0.17</v>
      </c>
      <c r="M46" s="35">
        <v>0.5</v>
      </c>
    </row>
    <row r="47" spans="1:13">
      <c r="A47" s="35">
        <v>42</v>
      </c>
      <c r="B47" s="5" t="s">
        <v>54</v>
      </c>
      <c r="C47" s="35">
        <v>7.0000000000000007E-2</v>
      </c>
      <c r="D47" s="35">
        <v>0.15</v>
      </c>
      <c r="E47" s="35">
        <v>0.18</v>
      </c>
      <c r="F47" s="35">
        <v>0.4</v>
      </c>
      <c r="G47" s="5" t="s">
        <v>11</v>
      </c>
      <c r="H47" s="36"/>
      <c r="I47" s="36"/>
      <c r="J47" s="35">
        <v>0.03</v>
      </c>
      <c r="K47" s="35">
        <v>0.27</v>
      </c>
      <c r="L47" s="35">
        <v>0.12</v>
      </c>
      <c r="M47" s="35">
        <v>0.42</v>
      </c>
    </row>
    <row r="48" spans="1:13">
      <c r="A48" s="35">
        <v>43</v>
      </c>
      <c r="B48" s="5" t="s">
        <v>55</v>
      </c>
      <c r="C48" s="35">
        <v>0.17</v>
      </c>
      <c r="D48" s="35">
        <v>0.26</v>
      </c>
      <c r="E48" s="35">
        <v>0.23</v>
      </c>
      <c r="F48" s="35">
        <v>0.66</v>
      </c>
      <c r="G48" s="5" t="s">
        <v>11</v>
      </c>
      <c r="H48" s="36"/>
      <c r="I48" s="36"/>
      <c r="J48" s="35">
        <v>5.37</v>
      </c>
      <c r="K48" s="35">
        <v>0.28999999999999998</v>
      </c>
      <c r="L48" s="35">
        <v>0.16</v>
      </c>
      <c r="M48" s="35">
        <v>5.83</v>
      </c>
    </row>
    <row r="49" spans="1:13">
      <c r="A49" s="35">
        <v>44</v>
      </c>
      <c r="B49" s="5" t="s">
        <v>56</v>
      </c>
      <c r="C49" s="35">
        <v>1.19</v>
      </c>
      <c r="D49" s="35">
        <v>0.09</v>
      </c>
      <c r="E49" s="35">
        <v>0.1</v>
      </c>
      <c r="F49" s="35">
        <v>1.37</v>
      </c>
      <c r="G49" s="5" t="s">
        <v>11</v>
      </c>
      <c r="H49" s="36"/>
      <c r="I49" s="36"/>
      <c r="J49" s="35">
        <v>5.12</v>
      </c>
      <c r="K49" s="35">
        <v>0.2</v>
      </c>
      <c r="L49" s="35">
        <v>0.09</v>
      </c>
      <c r="M49" s="35">
        <v>5.42</v>
      </c>
    </row>
    <row r="50" spans="1:13">
      <c r="A50" s="35">
        <v>45</v>
      </c>
      <c r="B50" s="5" t="s">
        <v>57</v>
      </c>
      <c r="C50" s="35">
        <v>0.23</v>
      </c>
      <c r="D50" s="35">
        <v>0.32</v>
      </c>
      <c r="E50" s="35">
        <v>0.18</v>
      </c>
      <c r="F50" s="35">
        <v>0.73</v>
      </c>
      <c r="G50" s="5" t="s">
        <v>11</v>
      </c>
      <c r="H50" s="36"/>
      <c r="I50" s="36"/>
      <c r="J50" s="35">
        <v>0.11</v>
      </c>
      <c r="K50" s="35">
        <v>0.41</v>
      </c>
      <c r="L50" s="35">
        <v>0.12</v>
      </c>
      <c r="M50" s="35">
        <v>0.64</v>
      </c>
    </row>
    <row r="51" spans="1:13">
      <c r="A51" s="35">
        <v>46</v>
      </c>
      <c r="B51" s="5" t="s">
        <v>58</v>
      </c>
      <c r="C51" s="35">
        <v>0.15</v>
      </c>
      <c r="D51" s="35">
        <v>0.14000000000000001</v>
      </c>
      <c r="E51" s="35">
        <v>0.06</v>
      </c>
      <c r="F51" s="35">
        <v>0.35</v>
      </c>
      <c r="G51" s="5" t="s">
        <v>11</v>
      </c>
      <c r="H51" s="36"/>
      <c r="I51" s="36"/>
      <c r="J51" s="35">
        <v>0.01</v>
      </c>
      <c r="K51" s="35">
        <v>0.26</v>
      </c>
      <c r="L51" s="35">
        <v>0.01</v>
      </c>
      <c r="M51" s="35">
        <v>0.27</v>
      </c>
    </row>
    <row r="52" spans="1:13">
      <c r="A52" s="35">
        <v>47</v>
      </c>
      <c r="B52" s="5" t="s">
        <v>59</v>
      </c>
      <c r="C52" s="35">
        <v>0.32</v>
      </c>
      <c r="D52" s="35">
        <v>0.13</v>
      </c>
      <c r="E52" s="35">
        <v>0.17</v>
      </c>
      <c r="F52" s="35">
        <v>0.62</v>
      </c>
      <c r="G52" s="5" t="s">
        <v>11</v>
      </c>
      <c r="H52" s="36"/>
      <c r="I52" s="36"/>
      <c r="J52" s="35">
        <v>5.57</v>
      </c>
      <c r="K52" s="35">
        <v>0.3</v>
      </c>
      <c r="L52" s="35">
        <v>0.03</v>
      </c>
      <c r="M52" s="35">
        <v>5.9</v>
      </c>
    </row>
    <row r="53" spans="1:13">
      <c r="A53" s="35">
        <v>48</v>
      </c>
      <c r="B53" s="5" t="s">
        <v>60</v>
      </c>
      <c r="C53" s="35">
        <v>0.13</v>
      </c>
      <c r="D53" s="35">
        <v>0.12</v>
      </c>
      <c r="E53" s="35">
        <v>0.24</v>
      </c>
      <c r="F53" s="35">
        <v>0.49</v>
      </c>
      <c r="G53" s="5" t="s">
        <v>11</v>
      </c>
      <c r="H53" s="36"/>
      <c r="I53" s="36"/>
      <c r="J53" s="35">
        <v>0.03</v>
      </c>
      <c r="K53" s="35">
        <v>0.33</v>
      </c>
      <c r="L53" s="35">
        <v>0.22</v>
      </c>
      <c r="M53" s="35">
        <v>0.57999999999999996</v>
      </c>
    </row>
    <row r="54" spans="1:13">
      <c r="A54" s="35">
        <v>49</v>
      </c>
      <c r="B54" s="5" t="s">
        <v>61</v>
      </c>
      <c r="C54" s="35">
        <v>0.65</v>
      </c>
      <c r="D54" s="35">
        <v>0.22</v>
      </c>
      <c r="E54" s="35">
        <v>0.26</v>
      </c>
      <c r="F54" s="35">
        <v>1.1299999999999999</v>
      </c>
      <c r="G54" s="5" t="s">
        <v>11</v>
      </c>
      <c r="H54" s="36"/>
      <c r="I54" s="36"/>
      <c r="J54" s="35">
        <v>1.55</v>
      </c>
      <c r="K54" s="35">
        <v>0.4</v>
      </c>
      <c r="L54" s="35">
        <v>0.22</v>
      </c>
      <c r="M54" s="35">
        <v>2.17</v>
      </c>
    </row>
    <row r="55" spans="1:13">
      <c r="A55" s="35">
        <v>50</v>
      </c>
      <c r="B55" s="5" t="s">
        <v>62</v>
      </c>
      <c r="C55" s="35">
        <v>0.18</v>
      </c>
      <c r="D55" s="35">
        <v>0.2</v>
      </c>
      <c r="E55" s="35">
        <v>0.27</v>
      </c>
      <c r="F55" s="35">
        <v>0.65</v>
      </c>
      <c r="G55" s="5" t="s">
        <v>11</v>
      </c>
      <c r="H55" s="36"/>
      <c r="I55" s="36"/>
      <c r="J55" s="35">
        <v>4.42</v>
      </c>
      <c r="K55" s="35">
        <v>0.41</v>
      </c>
      <c r="L55" s="35">
        <v>0.19</v>
      </c>
      <c r="M55" s="35">
        <v>5.0199999999999996</v>
      </c>
    </row>
    <row r="56" spans="1:13">
      <c r="A56" s="35">
        <v>51</v>
      </c>
      <c r="B56" s="5" t="s">
        <v>63</v>
      </c>
      <c r="C56" s="35">
        <v>1.32</v>
      </c>
      <c r="D56" s="35">
        <v>1.8</v>
      </c>
      <c r="E56" s="35">
        <v>0.21</v>
      </c>
      <c r="F56" s="35">
        <v>3.33</v>
      </c>
      <c r="G56" s="5" t="s">
        <v>20</v>
      </c>
      <c r="H56" s="5" t="s">
        <v>64</v>
      </c>
      <c r="I56" s="5"/>
      <c r="J56" s="35">
        <v>0.32</v>
      </c>
      <c r="K56" s="35">
        <v>2.08</v>
      </c>
      <c r="L56" s="35">
        <v>0.17</v>
      </c>
      <c r="M56" s="35">
        <v>2.57</v>
      </c>
    </row>
    <row r="57" spans="1:13">
      <c r="A57" s="35">
        <v>52</v>
      </c>
      <c r="B57" s="5" t="s">
        <v>65</v>
      </c>
      <c r="C57" s="35">
        <v>0.41</v>
      </c>
      <c r="D57" s="35">
        <v>0.14000000000000001</v>
      </c>
      <c r="E57" s="35">
        <v>0.42</v>
      </c>
      <c r="F57" s="35">
        <v>0.97</v>
      </c>
      <c r="G57" s="5" t="s">
        <v>11</v>
      </c>
      <c r="H57" s="36"/>
      <c r="I57" s="36"/>
      <c r="J57" s="35">
        <v>0.05</v>
      </c>
      <c r="K57" s="35">
        <v>0.79</v>
      </c>
      <c r="L57" s="35">
        <v>0.13</v>
      </c>
      <c r="M57" s="35">
        <v>0.98</v>
      </c>
    </row>
    <row r="58" spans="1:13">
      <c r="A58" s="35">
        <v>53</v>
      </c>
      <c r="B58" s="5" t="s">
        <v>66</v>
      </c>
      <c r="C58" s="35">
        <v>0.23</v>
      </c>
      <c r="D58" s="35">
        <v>0.16</v>
      </c>
      <c r="E58" s="35">
        <v>0.13</v>
      </c>
      <c r="F58" s="35">
        <v>0.52</v>
      </c>
      <c r="G58" s="5" t="s">
        <v>11</v>
      </c>
      <c r="H58" s="36"/>
      <c r="I58" s="36"/>
      <c r="J58" s="35">
        <v>0.02</v>
      </c>
      <c r="K58" s="35">
        <v>0.3</v>
      </c>
      <c r="L58" s="35">
        <v>0.09</v>
      </c>
      <c r="M58" s="35">
        <v>0.42</v>
      </c>
    </row>
    <row r="59" spans="1:13">
      <c r="A59" s="35">
        <v>54</v>
      </c>
      <c r="B59" s="5" t="s">
        <v>67</v>
      </c>
      <c r="C59" s="35">
        <v>0.09</v>
      </c>
      <c r="D59" s="35">
        <v>0.17</v>
      </c>
      <c r="E59" s="35">
        <v>0.11</v>
      </c>
      <c r="F59" s="35">
        <v>0.37</v>
      </c>
      <c r="G59" s="5" t="s">
        <v>11</v>
      </c>
      <c r="H59" s="36"/>
      <c r="I59" s="36"/>
      <c r="J59" s="35">
        <v>0.03</v>
      </c>
      <c r="K59" s="35">
        <v>0.31</v>
      </c>
      <c r="L59" s="35">
        <v>0.05</v>
      </c>
      <c r="M59" s="35">
        <v>0.39</v>
      </c>
    </row>
    <row r="60" spans="1:13">
      <c r="A60" s="35">
        <v>55</v>
      </c>
      <c r="B60" s="5" t="s">
        <v>68</v>
      </c>
      <c r="C60" s="35">
        <v>0.34</v>
      </c>
      <c r="D60" s="35">
        <v>0.2</v>
      </c>
      <c r="E60" s="35">
        <v>0.15</v>
      </c>
      <c r="F60" s="35">
        <v>0.68</v>
      </c>
      <c r="G60" s="5" t="s">
        <v>11</v>
      </c>
      <c r="H60" s="36"/>
      <c r="I60" s="36"/>
      <c r="J60" s="35">
        <v>11.79</v>
      </c>
      <c r="K60" s="35">
        <v>0.28999999999999998</v>
      </c>
      <c r="L60" s="35">
        <v>0.1</v>
      </c>
      <c r="M60" s="35">
        <v>12.18</v>
      </c>
    </row>
    <row r="61" spans="1:13">
      <c r="A61" s="35">
        <v>56</v>
      </c>
      <c r="B61" s="5" t="s">
        <v>69</v>
      </c>
      <c r="C61" s="35">
        <v>0.53</v>
      </c>
      <c r="D61" s="35">
        <v>0.13</v>
      </c>
      <c r="E61" s="35">
        <v>0.17</v>
      </c>
      <c r="F61" s="35">
        <v>0.82</v>
      </c>
      <c r="G61" s="5" t="s">
        <v>11</v>
      </c>
      <c r="H61" s="36"/>
      <c r="I61" s="36"/>
      <c r="J61" s="35">
        <v>0.03</v>
      </c>
      <c r="K61" s="35">
        <v>0.24</v>
      </c>
      <c r="L61" s="35">
        <v>0.13</v>
      </c>
      <c r="M61" s="35">
        <v>0.39</v>
      </c>
    </row>
    <row r="62" spans="1:13">
      <c r="A62" s="35">
        <v>57</v>
      </c>
      <c r="B62" s="5" t="s">
        <v>70</v>
      </c>
      <c r="C62" s="35">
        <v>4.29</v>
      </c>
      <c r="D62" s="35">
        <v>0.22</v>
      </c>
      <c r="E62" s="35">
        <v>0.41</v>
      </c>
      <c r="F62" s="35">
        <v>4.92</v>
      </c>
      <c r="G62" s="5" t="s">
        <v>20</v>
      </c>
      <c r="H62" s="5" t="s">
        <v>64</v>
      </c>
      <c r="I62" s="5"/>
      <c r="J62" s="35">
        <v>3.85</v>
      </c>
      <c r="K62" s="35">
        <v>0.37</v>
      </c>
      <c r="L62" s="35">
        <v>0.4</v>
      </c>
      <c r="M62" s="35">
        <v>4.6100000000000003</v>
      </c>
    </row>
    <row r="63" spans="1:13">
      <c r="A63" s="35">
        <v>58</v>
      </c>
      <c r="B63" s="5" t="s">
        <v>71</v>
      </c>
      <c r="C63" s="35">
        <v>0.78</v>
      </c>
      <c r="D63" s="35">
        <v>0.13</v>
      </c>
      <c r="E63" s="35">
        <v>0.15</v>
      </c>
      <c r="F63" s="35">
        <v>1.06</v>
      </c>
      <c r="G63" s="5" t="s">
        <v>20</v>
      </c>
      <c r="H63" s="5" t="s">
        <v>64</v>
      </c>
      <c r="I63" s="5"/>
      <c r="J63" s="35">
        <v>0.57999999999999996</v>
      </c>
      <c r="K63" s="35">
        <v>0.28999999999999998</v>
      </c>
      <c r="L63" s="35">
        <v>0.11</v>
      </c>
      <c r="M63" s="35">
        <v>0.98</v>
      </c>
    </row>
    <row r="64" spans="1:13">
      <c r="A64" s="35">
        <v>59</v>
      </c>
      <c r="B64" s="5" t="s">
        <v>72</v>
      </c>
      <c r="C64" s="35">
        <v>0.32</v>
      </c>
      <c r="D64" s="35">
        <v>0.19</v>
      </c>
      <c r="E64" s="35">
        <v>0.15</v>
      </c>
      <c r="F64" s="35">
        <v>0.67</v>
      </c>
      <c r="G64" s="5" t="s">
        <v>11</v>
      </c>
      <c r="H64" s="36"/>
      <c r="I64" s="36"/>
      <c r="J64" s="35">
        <v>15.32</v>
      </c>
      <c r="K64" s="35">
        <v>0.28999999999999998</v>
      </c>
      <c r="L64" s="35">
        <v>0.11</v>
      </c>
      <c r="M64" s="35">
        <v>15.71</v>
      </c>
    </row>
    <row r="65" spans="1:13">
      <c r="A65" s="35">
        <v>60</v>
      </c>
      <c r="B65" s="5" t="s">
        <v>73</v>
      </c>
      <c r="C65" s="35">
        <v>0.11</v>
      </c>
      <c r="D65" s="35">
        <v>0.18</v>
      </c>
      <c r="E65" s="35">
        <v>0.16</v>
      </c>
      <c r="F65" s="35">
        <v>0.45</v>
      </c>
      <c r="G65" s="5" t="s">
        <v>11</v>
      </c>
      <c r="H65" s="36"/>
      <c r="I65" s="36"/>
      <c r="J65" s="35">
        <v>0.02</v>
      </c>
      <c r="K65" s="35">
        <v>0.27</v>
      </c>
      <c r="L65" s="35">
        <v>0.11</v>
      </c>
      <c r="M65" s="35">
        <v>0.4</v>
      </c>
    </row>
    <row r="66" spans="1:13">
      <c r="A66" s="35">
        <v>61</v>
      </c>
      <c r="B66" s="5" t="s">
        <v>74</v>
      </c>
      <c r="C66" s="35">
        <v>7.0000000000000007E-2</v>
      </c>
      <c r="D66" s="35">
        <v>7.0000000000000007E-2</v>
      </c>
      <c r="E66" s="35">
        <v>0.09</v>
      </c>
      <c r="F66" s="35">
        <v>0.23</v>
      </c>
      <c r="G66" s="5" t="s">
        <v>11</v>
      </c>
      <c r="H66" s="36"/>
      <c r="I66" s="36"/>
      <c r="J66" s="35">
        <v>0.01</v>
      </c>
      <c r="K66" s="35">
        <v>0.23</v>
      </c>
      <c r="L66" s="35">
        <v>0.04</v>
      </c>
      <c r="M66" s="35">
        <v>0.28000000000000003</v>
      </c>
    </row>
    <row r="67" spans="1:13">
      <c r="A67" s="35">
        <v>62</v>
      </c>
      <c r="B67" s="5" t="s">
        <v>75</v>
      </c>
      <c r="C67" s="35">
        <v>1.48</v>
      </c>
      <c r="D67" s="35">
        <v>0.11</v>
      </c>
      <c r="E67" s="35">
        <v>0.17</v>
      </c>
      <c r="F67" s="35">
        <v>1.75</v>
      </c>
      <c r="G67" s="5" t="s">
        <v>11</v>
      </c>
      <c r="H67" s="36"/>
      <c r="I67" s="36"/>
      <c r="J67" s="35">
        <v>1.37</v>
      </c>
      <c r="K67" s="35">
        <v>0.19</v>
      </c>
      <c r="L67" s="35">
        <v>0.14000000000000001</v>
      </c>
      <c r="M67" s="35">
        <v>1.7</v>
      </c>
    </row>
    <row r="68" spans="1:13">
      <c r="A68" s="35">
        <v>63</v>
      </c>
      <c r="B68" s="5" t="s">
        <v>76</v>
      </c>
      <c r="C68" s="35">
        <v>0.35</v>
      </c>
      <c r="D68" s="35">
        <v>0.13</v>
      </c>
      <c r="E68" s="35">
        <v>0.16</v>
      </c>
      <c r="F68" s="35">
        <v>0.64</v>
      </c>
      <c r="G68" s="5" t="s">
        <v>11</v>
      </c>
      <c r="H68" s="36"/>
      <c r="I68" s="36"/>
      <c r="J68" s="35">
        <v>0.01</v>
      </c>
      <c r="K68" s="35">
        <v>0.17</v>
      </c>
      <c r="L68" s="35">
        <v>0.11</v>
      </c>
      <c r="M68" s="35">
        <v>0.28999999999999998</v>
      </c>
    </row>
    <row r="69" spans="1:13">
      <c r="A69" s="35">
        <v>64</v>
      </c>
      <c r="B69" s="5" t="s">
        <v>77</v>
      </c>
      <c r="C69" s="35">
        <v>1.65</v>
      </c>
      <c r="D69" s="35">
        <v>0.24</v>
      </c>
      <c r="E69" s="35">
        <v>0.3</v>
      </c>
      <c r="F69" s="35">
        <v>2.19</v>
      </c>
      <c r="G69" s="5" t="s">
        <v>20</v>
      </c>
      <c r="H69" s="5" t="s">
        <v>64</v>
      </c>
      <c r="I69" s="5"/>
      <c r="J69" s="35">
        <v>0.38</v>
      </c>
      <c r="K69" s="35">
        <v>0.75</v>
      </c>
      <c r="L69" s="35">
        <v>0.25</v>
      </c>
      <c r="M69" s="35">
        <v>1.39</v>
      </c>
    </row>
    <row r="70" spans="1:13">
      <c r="A70" s="35">
        <v>65</v>
      </c>
      <c r="B70" s="5" t="s">
        <v>78</v>
      </c>
      <c r="C70" s="35">
        <v>0.12</v>
      </c>
      <c r="D70" s="35">
        <v>0.22</v>
      </c>
      <c r="E70" s="35">
        <v>0.32</v>
      </c>
      <c r="F70" s="35">
        <v>0.65</v>
      </c>
      <c r="G70" s="5" t="s">
        <v>11</v>
      </c>
      <c r="H70" s="36"/>
      <c r="I70" s="36"/>
      <c r="J70" s="35">
        <v>0.01</v>
      </c>
      <c r="K70" s="35">
        <v>0.36</v>
      </c>
      <c r="L70" s="35">
        <v>0.23</v>
      </c>
      <c r="M70" s="35">
        <v>0.6</v>
      </c>
    </row>
    <row r="71" spans="1:13">
      <c r="A71" s="35">
        <v>66</v>
      </c>
      <c r="B71" s="5" t="s">
        <v>79</v>
      </c>
      <c r="C71" s="35">
        <v>0.14000000000000001</v>
      </c>
      <c r="D71" s="35">
        <v>0.15</v>
      </c>
      <c r="E71" s="35">
        <v>0.14000000000000001</v>
      </c>
      <c r="F71" s="35">
        <v>0.42</v>
      </c>
      <c r="G71" s="5" t="s">
        <v>11</v>
      </c>
      <c r="H71" s="36"/>
      <c r="I71" s="36"/>
      <c r="J71" s="35">
        <v>0.04</v>
      </c>
      <c r="K71" s="35">
        <v>0.27</v>
      </c>
      <c r="L71" s="35">
        <v>0.12</v>
      </c>
      <c r="M71" s="35">
        <v>0.43</v>
      </c>
    </row>
    <row r="72" spans="1:13">
      <c r="A72" s="35">
        <v>67</v>
      </c>
      <c r="B72" s="5" t="s">
        <v>80</v>
      </c>
      <c r="C72" s="35">
        <v>1.25</v>
      </c>
      <c r="D72" s="35">
        <v>0.13</v>
      </c>
      <c r="E72" s="35">
        <v>0.22</v>
      </c>
      <c r="F72" s="35">
        <v>1.6</v>
      </c>
      <c r="G72" s="5" t="s">
        <v>11</v>
      </c>
      <c r="H72" s="36"/>
      <c r="I72" s="36"/>
      <c r="J72" s="35">
        <v>2.4500000000000002</v>
      </c>
      <c r="K72" s="35">
        <v>0.22</v>
      </c>
      <c r="L72" s="35">
        <v>0.03</v>
      </c>
      <c r="M72" s="35">
        <v>2.71</v>
      </c>
    </row>
    <row r="73" spans="1:13">
      <c r="A73" s="35">
        <v>68</v>
      </c>
      <c r="B73" s="5" t="s">
        <v>81</v>
      </c>
      <c r="C73" s="35">
        <v>0.21</v>
      </c>
      <c r="D73" s="35">
        <v>0.15</v>
      </c>
      <c r="E73" s="35">
        <v>0.17</v>
      </c>
      <c r="F73" s="35">
        <v>0.54</v>
      </c>
      <c r="G73" s="5" t="s">
        <v>11</v>
      </c>
      <c r="H73" s="36"/>
      <c r="I73" s="36"/>
      <c r="J73" s="35">
        <v>0.03</v>
      </c>
      <c r="K73" s="35">
        <v>0.28999999999999998</v>
      </c>
      <c r="L73" s="35">
        <v>0.03</v>
      </c>
      <c r="M73" s="35">
        <v>0.35</v>
      </c>
    </row>
    <row r="74" spans="1:13">
      <c r="A74" s="35">
        <v>69</v>
      </c>
      <c r="B74" s="5" t="s">
        <v>82</v>
      </c>
      <c r="C74" s="35">
        <v>0.11</v>
      </c>
      <c r="D74" s="35">
        <v>0.09</v>
      </c>
      <c r="E74" s="35">
        <v>0.12</v>
      </c>
      <c r="F74" s="35">
        <v>0.32</v>
      </c>
      <c r="G74" s="5" t="s">
        <v>20</v>
      </c>
      <c r="H74" s="5" t="s">
        <v>21</v>
      </c>
      <c r="I74" s="5"/>
      <c r="J74" s="35">
        <v>0.48</v>
      </c>
      <c r="K74" s="35">
        <v>0.27</v>
      </c>
      <c r="L74" s="35">
        <v>0.09</v>
      </c>
      <c r="M74" s="35">
        <v>0.84</v>
      </c>
    </row>
    <row r="75" spans="1:13">
      <c r="A75" s="35">
        <v>70</v>
      </c>
      <c r="B75" s="5" t="s">
        <v>83</v>
      </c>
      <c r="C75" s="35">
        <v>0.21</v>
      </c>
      <c r="D75" s="35">
        <v>0.13</v>
      </c>
      <c r="E75" s="35">
        <v>0.14000000000000001</v>
      </c>
      <c r="F75" s="35">
        <v>0.49</v>
      </c>
      <c r="G75" s="5" t="s">
        <v>11</v>
      </c>
      <c r="H75" s="36"/>
      <c r="I75" s="36"/>
      <c r="J75" s="35">
        <v>3.33</v>
      </c>
      <c r="K75" s="35">
        <v>0.36</v>
      </c>
      <c r="L75" s="35">
        <v>7.0000000000000007E-2</v>
      </c>
      <c r="M75" s="35">
        <v>3.76</v>
      </c>
    </row>
    <row r="76" spans="1:13">
      <c r="A76" s="35">
        <v>71</v>
      </c>
      <c r="B76" s="5" t="s">
        <v>84</v>
      </c>
      <c r="C76" s="35">
        <v>0.56999999999999995</v>
      </c>
      <c r="D76" s="35">
        <v>0.65</v>
      </c>
      <c r="E76" s="35">
        <v>0.13</v>
      </c>
      <c r="F76" s="35">
        <v>1.35</v>
      </c>
      <c r="G76" s="5" t="s">
        <v>11</v>
      </c>
      <c r="H76" s="36"/>
      <c r="I76" s="36"/>
      <c r="J76" s="5" t="s">
        <v>64</v>
      </c>
      <c r="K76" s="5" t="s">
        <v>64</v>
      </c>
      <c r="L76" s="5" t="s">
        <v>64</v>
      </c>
      <c r="M76" s="5" t="s">
        <v>64</v>
      </c>
    </row>
    <row r="77" spans="1:13">
      <c r="A77" s="35">
        <v>72</v>
      </c>
      <c r="B77" s="5" t="s">
        <v>85</v>
      </c>
      <c r="C77" s="35">
        <v>1.75</v>
      </c>
      <c r="D77" s="35">
        <v>0.4</v>
      </c>
      <c r="E77" s="35">
        <v>0.25</v>
      </c>
      <c r="F77" s="35">
        <v>2.39</v>
      </c>
      <c r="G77" s="5" t="s">
        <v>11</v>
      </c>
      <c r="H77" s="36"/>
      <c r="I77" s="36"/>
      <c r="J77" s="35">
        <v>1.07</v>
      </c>
      <c r="K77" s="35">
        <v>0.66</v>
      </c>
      <c r="L77" s="35">
        <v>0.15</v>
      </c>
      <c r="M77" s="35">
        <v>1.88</v>
      </c>
    </row>
    <row r="78" spans="1:13">
      <c r="A78" s="35">
        <v>73</v>
      </c>
      <c r="B78" s="5" t="s">
        <v>86</v>
      </c>
      <c r="C78" s="35">
        <v>0.16</v>
      </c>
      <c r="D78" s="35">
        <v>0.17</v>
      </c>
      <c r="E78" s="35">
        <v>0.31</v>
      </c>
      <c r="F78" s="35">
        <v>0.63</v>
      </c>
      <c r="G78" s="5" t="s">
        <v>11</v>
      </c>
      <c r="H78" s="36"/>
      <c r="I78" s="36"/>
      <c r="J78" s="35">
        <v>0.09</v>
      </c>
      <c r="K78" s="35">
        <v>0.32</v>
      </c>
      <c r="L78" s="35">
        <v>0.28000000000000003</v>
      </c>
      <c r="M78" s="35">
        <v>0.69</v>
      </c>
    </row>
    <row r="79" spans="1:13">
      <c r="A79" s="35">
        <v>74</v>
      </c>
      <c r="B79" s="5" t="s">
        <v>87</v>
      </c>
      <c r="C79" s="35">
        <v>0.11</v>
      </c>
      <c r="D79" s="35">
        <v>0.08</v>
      </c>
      <c r="E79" s="35">
        <v>0.06</v>
      </c>
      <c r="F79" s="35">
        <v>0.25</v>
      </c>
      <c r="G79" s="5" t="s">
        <v>11</v>
      </c>
      <c r="H79" s="36"/>
      <c r="I79" s="36"/>
      <c r="J79" s="35">
        <v>0.01</v>
      </c>
      <c r="K79" s="35">
        <v>0.21</v>
      </c>
      <c r="L79" s="35">
        <v>0.03</v>
      </c>
      <c r="M79" s="35">
        <v>0.25</v>
      </c>
    </row>
    <row r="80" spans="1:13">
      <c r="A80" s="35">
        <v>75</v>
      </c>
      <c r="B80" s="5" t="s">
        <v>88</v>
      </c>
      <c r="C80" s="35">
        <v>0.38</v>
      </c>
      <c r="D80" s="35">
        <v>0.18</v>
      </c>
      <c r="E80" s="35">
        <v>0.26</v>
      </c>
      <c r="F80" s="35">
        <v>0.82</v>
      </c>
      <c r="G80" s="5" t="s">
        <v>20</v>
      </c>
      <c r="H80" s="5" t="s">
        <v>64</v>
      </c>
      <c r="I80" s="5"/>
      <c r="J80" s="35">
        <v>0.22</v>
      </c>
      <c r="K80" s="35">
        <v>0.5</v>
      </c>
      <c r="L80" s="35">
        <v>0.33</v>
      </c>
      <c r="M80" s="35">
        <v>1.05</v>
      </c>
    </row>
    <row r="81" spans="1:13">
      <c r="A81" s="35">
        <v>76</v>
      </c>
      <c r="B81" s="5" t="s">
        <v>89</v>
      </c>
      <c r="C81" s="35">
        <v>0.1</v>
      </c>
      <c r="D81" s="35">
        <v>0.13</v>
      </c>
      <c r="E81" s="35">
        <v>0.06</v>
      </c>
      <c r="F81" s="35">
        <v>0.28999999999999998</v>
      </c>
      <c r="G81" s="5" t="s">
        <v>11</v>
      </c>
      <c r="H81" s="36"/>
      <c r="I81" s="36"/>
      <c r="J81" s="35">
        <v>1.46</v>
      </c>
      <c r="K81" s="35">
        <v>0.28000000000000003</v>
      </c>
      <c r="L81" s="35">
        <v>0.02</v>
      </c>
      <c r="M81" s="35">
        <v>1.76</v>
      </c>
    </row>
    <row r="82" spans="1:13">
      <c r="A82" s="35">
        <v>77</v>
      </c>
      <c r="B82" s="5" t="s">
        <v>90</v>
      </c>
      <c r="C82" s="35">
        <v>0.11</v>
      </c>
      <c r="D82" s="35">
        <v>0.84</v>
      </c>
      <c r="E82" s="35">
        <v>0.1</v>
      </c>
      <c r="F82" s="35">
        <v>1.04</v>
      </c>
      <c r="G82" s="5" t="s">
        <v>20</v>
      </c>
      <c r="H82" s="5" t="s">
        <v>21</v>
      </c>
      <c r="I82" s="5"/>
      <c r="J82" s="35">
        <v>1.66</v>
      </c>
      <c r="K82" s="35">
        <v>0.41</v>
      </c>
      <c r="L82" s="35">
        <v>0.05</v>
      </c>
      <c r="M82" s="35">
        <v>2.11</v>
      </c>
    </row>
    <row r="83" spans="1:13">
      <c r="A83" s="35">
        <v>78</v>
      </c>
      <c r="B83" s="5" t="s">
        <v>91</v>
      </c>
      <c r="C83" s="35">
        <v>0.17</v>
      </c>
      <c r="D83" s="35">
        <v>0.63</v>
      </c>
      <c r="E83" s="35">
        <v>0.23</v>
      </c>
      <c r="F83" s="35">
        <v>1.03</v>
      </c>
      <c r="G83" s="5" t="s">
        <v>11</v>
      </c>
      <c r="H83" s="36"/>
      <c r="I83" s="36"/>
      <c r="J83" s="35">
        <v>8.16</v>
      </c>
      <c r="K83" s="35">
        <v>0.81</v>
      </c>
      <c r="L83" s="35">
        <v>0.15</v>
      </c>
      <c r="M83" s="35">
        <v>9.1199999999999992</v>
      </c>
    </row>
    <row r="84" spans="1:13">
      <c r="A84" s="35">
        <v>79</v>
      </c>
      <c r="B84" s="5" t="s">
        <v>92</v>
      </c>
      <c r="C84" s="35">
        <v>0.26</v>
      </c>
      <c r="D84" s="35">
        <v>0.11</v>
      </c>
      <c r="E84" s="35">
        <v>0.08</v>
      </c>
      <c r="F84" s="35">
        <v>0.45</v>
      </c>
      <c r="G84" s="5" t="s">
        <v>11</v>
      </c>
      <c r="H84" s="36"/>
      <c r="I84" s="36"/>
      <c r="J84" s="35">
        <v>0.01</v>
      </c>
      <c r="K84" s="35">
        <v>0.24</v>
      </c>
      <c r="L84" s="35">
        <v>0.01</v>
      </c>
      <c r="M84" s="35">
        <v>0.26</v>
      </c>
    </row>
    <row r="85" spans="1:13">
      <c r="A85" s="35">
        <v>80</v>
      </c>
      <c r="B85" s="5" t="s">
        <v>93</v>
      </c>
      <c r="C85" s="35">
        <v>0.27</v>
      </c>
      <c r="D85" s="35">
        <v>0.11</v>
      </c>
      <c r="E85" s="35">
        <v>0.15</v>
      </c>
      <c r="F85" s="35">
        <v>0.53</v>
      </c>
      <c r="G85" s="5" t="s">
        <v>11</v>
      </c>
      <c r="H85" s="36"/>
      <c r="I85" s="36"/>
      <c r="J85" s="35">
        <v>7.0000000000000007E-2</v>
      </c>
      <c r="K85" s="35">
        <v>0.23</v>
      </c>
      <c r="L85" s="35">
        <v>0.11</v>
      </c>
      <c r="M85" s="35">
        <v>0.4</v>
      </c>
    </row>
    <row r="86" spans="1:13">
      <c r="A86" s="35">
        <v>81</v>
      </c>
      <c r="B86" s="5" t="s">
        <v>94</v>
      </c>
      <c r="C86" s="35">
        <v>0.3</v>
      </c>
      <c r="D86" s="35">
        <v>0.1</v>
      </c>
      <c r="E86" s="35">
        <v>0.2</v>
      </c>
      <c r="F86" s="35">
        <v>0.6</v>
      </c>
      <c r="G86" s="5" t="s">
        <v>11</v>
      </c>
      <c r="H86" s="36"/>
      <c r="I86" s="36"/>
      <c r="J86" s="35">
        <v>0.08</v>
      </c>
      <c r="K86" s="35">
        <v>0.28000000000000003</v>
      </c>
      <c r="L86" s="35">
        <v>0.12</v>
      </c>
      <c r="M86" s="35">
        <v>0.48</v>
      </c>
    </row>
    <row r="87" spans="1:13">
      <c r="A87" s="35">
        <v>82</v>
      </c>
      <c r="B87" s="5" t="s">
        <v>95</v>
      </c>
      <c r="C87" s="35">
        <v>0.23</v>
      </c>
      <c r="D87" s="35">
        <v>0.2</v>
      </c>
      <c r="E87" s="35">
        <v>0.22</v>
      </c>
      <c r="F87" s="35">
        <v>0.65</v>
      </c>
      <c r="G87" s="5" t="s">
        <v>20</v>
      </c>
      <c r="H87" s="5" t="s">
        <v>21</v>
      </c>
      <c r="I87" s="5"/>
      <c r="J87" s="35">
        <v>1.95</v>
      </c>
      <c r="K87" s="35">
        <v>0.3</v>
      </c>
      <c r="L87" s="35">
        <v>0.1</v>
      </c>
      <c r="M87" s="35">
        <v>2.35</v>
      </c>
    </row>
    <row r="88" spans="1:13">
      <c r="A88" s="35">
        <v>83</v>
      </c>
      <c r="B88" s="5" t="s">
        <v>96</v>
      </c>
      <c r="C88" s="35">
        <v>0.16</v>
      </c>
      <c r="D88" s="35">
        <v>0.14000000000000001</v>
      </c>
      <c r="E88" s="35">
        <v>0.19</v>
      </c>
      <c r="F88" s="35">
        <v>0.5</v>
      </c>
      <c r="G88" s="5" t="s">
        <v>20</v>
      </c>
      <c r="H88" s="5" t="s">
        <v>21</v>
      </c>
      <c r="I88" s="5"/>
      <c r="J88" s="35">
        <v>0.3</v>
      </c>
      <c r="K88" s="35">
        <v>0.4</v>
      </c>
      <c r="L88" s="35">
        <v>0.17</v>
      </c>
      <c r="M88" s="35">
        <v>0.87</v>
      </c>
    </row>
    <row r="89" spans="1:13">
      <c r="A89" s="35">
        <v>84</v>
      </c>
      <c r="B89" s="5" t="s">
        <v>97</v>
      </c>
      <c r="C89" s="35">
        <v>0.15</v>
      </c>
      <c r="D89" s="35">
        <v>0.24</v>
      </c>
      <c r="E89" s="35">
        <v>0.15</v>
      </c>
      <c r="F89" s="35">
        <v>0.54</v>
      </c>
      <c r="G89" s="5" t="s">
        <v>11</v>
      </c>
      <c r="H89" s="36"/>
      <c r="I89" s="36"/>
      <c r="J89" s="35">
        <v>0.03</v>
      </c>
      <c r="K89" s="35">
        <v>0.41</v>
      </c>
      <c r="L89" s="35">
        <v>0.1</v>
      </c>
      <c r="M89" s="35">
        <v>0.54</v>
      </c>
    </row>
    <row r="90" spans="1:13">
      <c r="A90" s="35">
        <v>85</v>
      </c>
      <c r="B90" s="5" t="s">
        <v>98</v>
      </c>
      <c r="C90" s="35">
        <v>0.23</v>
      </c>
      <c r="D90" s="35">
        <v>0.15</v>
      </c>
      <c r="E90" s="35">
        <v>0.14000000000000001</v>
      </c>
      <c r="F90" s="35">
        <v>0.52</v>
      </c>
      <c r="G90" s="5" t="s">
        <v>11</v>
      </c>
      <c r="H90" s="36"/>
      <c r="I90" s="36"/>
      <c r="J90" s="35">
        <v>0.01</v>
      </c>
      <c r="K90" s="35">
        <v>0.4</v>
      </c>
      <c r="L90" s="35">
        <v>0.1</v>
      </c>
      <c r="M90" s="35">
        <v>0.51</v>
      </c>
    </row>
    <row r="91" spans="1:13">
      <c r="A91" s="35">
        <v>86</v>
      </c>
      <c r="B91" s="5" t="s">
        <v>99</v>
      </c>
      <c r="C91" s="35">
        <v>0.46</v>
      </c>
      <c r="D91" s="35">
        <v>0.16</v>
      </c>
      <c r="E91" s="35">
        <v>0.12</v>
      </c>
      <c r="F91" s="35">
        <v>0.74</v>
      </c>
      <c r="G91" s="5" t="s">
        <v>11</v>
      </c>
      <c r="H91" s="36"/>
      <c r="I91" s="36"/>
      <c r="J91" s="35">
        <v>17.45</v>
      </c>
      <c r="K91" s="35">
        <v>0.23</v>
      </c>
      <c r="L91" s="35">
        <v>0.05</v>
      </c>
      <c r="M91" s="35">
        <v>17.73</v>
      </c>
    </row>
    <row r="92" spans="1:13">
      <c r="A92" s="35">
        <v>87</v>
      </c>
      <c r="B92" s="5" t="s">
        <v>100</v>
      </c>
      <c r="C92" s="35">
        <v>0.32</v>
      </c>
      <c r="D92" s="35">
        <v>0.42</v>
      </c>
      <c r="E92" s="35">
        <v>0.2</v>
      </c>
      <c r="F92" s="35">
        <v>0.95</v>
      </c>
      <c r="G92" s="5" t="s">
        <v>20</v>
      </c>
      <c r="H92" s="5" t="s">
        <v>21</v>
      </c>
      <c r="I92" s="5"/>
      <c r="J92" s="35">
        <v>0.28999999999999998</v>
      </c>
      <c r="K92" s="35">
        <v>0.71</v>
      </c>
      <c r="L92" s="35">
        <v>0.13</v>
      </c>
      <c r="M92" s="35">
        <v>1.1299999999999999</v>
      </c>
    </row>
    <row r="93" spans="1:13">
      <c r="A93" s="35">
        <v>88</v>
      </c>
      <c r="B93" s="5" t="s">
        <v>101</v>
      </c>
      <c r="C93" s="35">
        <v>0.22</v>
      </c>
      <c r="D93" s="35">
        <v>0.22</v>
      </c>
      <c r="E93" s="35">
        <v>0.18</v>
      </c>
      <c r="F93" s="35">
        <v>0.62</v>
      </c>
      <c r="G93" s="5" t="s">
        <v>11</v>
      </c>
      <c r="H93" s="36"/>
      <c r="I93" s="36"/>
      <c r="J93" s="5" t="s">
        <v>64</v>
      </c>
      <c r="K93" s="5" t="s">
        <v>64</v>
      </c>
      <c r="L93" s="5" t="s">
        <v>64</v>
      </c>
      <c r="M93" s="5" t="s">
        <v>64</v>
      </c>
    </row>
    <row r="94" spans="1:13">
      <c r="A94" s="35">
        <v>89</v>
      </c>
      <c r="B94" s="5" t="s">
        <v>102</v>
      </c>
      <c r="C94" s="35">
        <v>0.11</v>
      </c>
      <c r="D94" s="35">
        <v>0.09</v>
      </c>
      <c r="E94" s="35">
        <v>0.14000000000000001</v>
      </c>
      <c r="F94" s="35">
        <v>0.34</v>
      </c>
      <c r="G94" s="5" t="s">
        <v>11</v>
      </c>
      <c r="H94" s="36"/>
      <c r="I94" s="36"/>
      <c r="J94" s="35">
        <v>3.74</v>
      </c>
      <c r="K94" s="35">
        <v>0.24</v>
      </c>
      <c r="L94" s="35">
        <v>0.08</v>
      </c>
      <c r="M94" s="35">
        <v>4.0599999999999996</v>
      </c>
    </row>
    <row r="95" spans="1:13">
      <c r="A95" s="35">
        <v>90</v>
      </c>
      <c r="B95" s="5" t="s">
        <v>103</v>
      </c>
      <c r="C95" s="35">
        <v>0.25</v>
      </c>
      <c r="D95" s="35">
        <v>0.21</v>
      </c>
      <c r="E95" s="35">
        <v>0.2</v>
      </c>
      <c r="F95" s="35">
        <v>0.66</v>
      </c>
      <c r="G95" s="5" t="s">
        <v>20</v>
      </c>
      <c r="H95" s="5" t="s">
        <v>21</v>
      </c>
      <c r="I95" s="5"/>
      <c r="J95" s="35">
        <v>0.08</v>
      </c>
      <c r="K95" s="35">
        <v>0.44</v>
      </c>
      <c r="L95" s="35">
        <v>0.16</v>
      </c>
      <c r="M95" s="35">
        <v>0.68</v>
      </c>
    </row>
    <row r="96" spans="1:13">
      <c r="A96" s="35">
        <v>91</v>
      </c>
      <c r="B96" s="5" t="s">
        <v>104</v>
      </c>
      <c r="C96" s="35">
        <v>1.44</v>
      </c>
      <c r="D96" s="35">
        <v>0.25</v>
      </c>
      <c r="E96" s="35">
        <v>0.15</v>
      </c>
      <c r="F96" s="35">
        <v>1.84</v>
      </c>
      <c r="G96" s="5" t="s">
        <v>20</v>
      </c>
      <c r="H96" s="5" t="s">
        <v>64</v>
      </c>
      <c r="I96" s="5"/>
      <c r="J96" s="35">
        <v>0.9</v>
      </c>
      <c r="K96" s="35">
        <v>0.52</v>
      </c>
      <c r="L96" s="35">
        <v>0.1</v>
      </c>
      <c r="M96" s="35">
        <v>1.51</v>
      </c>
    </row>
    <row r="97" spans="1:13">
      <c r="A97" s="35">
        <v>92</v>
      </c>
      <c r="B97" s="5" t="s">
        <v>105</v>
      </c>
      <c r="C97" s="35">
        <v>0.06</v>
      </c>
      <c r="D97" s="35">
        <v>0.13</v>
      </c>
      <c r="E97" s="35">
        <v>7.0000000000000007E-2</v>
      </c>
      <c r="F97" s="35">
        <v>0.26</v>
      </c>
      <c r="G97" s="5" t="s">
        <v>11</v>
      </c>
      <c r="H97" s="36"/>
      <c r="I97" s="36"/>
      <c r="J97" s="35">
        <v>0</v>
      </c>
      <c r="K97" s="35">
        <v>0.26</v>
      </c>
      <c r="L97" s="35">
        <v>0.02</v>
      </c>
      <c r="M97" s="35">
        <v>0.28000000000000003</v>
      </c>
    </row>
    <row r="98" spans="1:13">
      <c r="A98" s="35">
        <v>93</v>
      </c>
      <c r="B98" s="5" t="s">
        <v>106</v>
      </c>
      <c r="C98" s="35">
        <v>0.76</v>
      </c>
      <c r="D98" s="35">
        <v>0.11</v>
      </c>
      <c r="E98" s="35">
        <v>0.21</v>
      </c>
      <c r="F98" s="35">
        <v>1.08</v>
      </c>
      <c r="G98" s="5" t="s">
        <v>11</v>
      </c>
      <c r="H98" s="36"/>
      <c r="I98" s="36"/>
      <c r="J98" s="35">
        <v>0.49</v>
      </c>
      <c r="K98" s="35">
        <v>0.21</v>
      </c>
      <c r="L98" s="35">
        <v>0.16</v>
      </c>
      <c r="M98" s="35">
        <v>0.86</v>
      </c>
    </row>
    <row r="99" spans="1:13">
      <c r="A99" s="35">
        <v>94</v>
      </c>
      <c r="B99" s="5" t="s">
        <v>107</v>
      </c>
      <c r="C99" s="35">
        <v>0.56000000000000005</v>
      </c>
      <c r="D99" s="35">
        <v>0.13</v>
      </c>
      <c r="E99" s="35">
        <v>0.12</v>
      </c>
      <c r="F99" s="35">
        <v>0.8</v>
      </c>
      <c r="G99" s="5" t="s">
        <v>11</v>
      </c>
      <c r="H99" s="36"/>
      <c r="I99" s="36"/>
      <c r="J99" s="35">
        <v>0</v>
      </c>
      <c r="K99" s="35">
        <v>0.2</v>
      </c>
      <c r="L99" s="35">
        <v>0.02</v>
      </c>
      <c r="M99" s="35">
        <v>0.22</v>
      </c>
    </row>
    <row r="100" spans="1:13">
      <c r="A100" s="35">
        <v>95</v>
      </c>
      <c r="B100" s="5" t="s">
        <v>108</v>
      </c>
      <c r="C100" s="35">
        <v>0.3</v>
      </c>
      <c r="D100" s="35">
        <v>0.24</v>
      </c>
      <c r="E100" s="35">
        <v>0.15</v>
      </c>
      <c r="F100" s="35">
        <v>0.69</v>
      </c>
      <c r="G100" s="5" t="s">
        <v>11</v>
      </c>
      <c r="H100" s="36"/>
      <c r="I100" s="36"/>
      <c r="J100" s="35">
        <v>0</v>
      </c>
      <c r="K100" s="35">
        <v>0.38</v>
      </c>
      <c r="L100" s="35">
        <v>0.04</v>
      </c>
      <c r="M100" s="35">
        <v>0.42</v>
      </c>
    </row>
    <row r="101" spans="1:13">
      <c r="A101" s="35">
        <v>96</v>
      </c>
      <c r="B101" s="5" t="s">
        <v>109</v>
      </c>
      <c r="C101" s="35">
        <v>0.12</v>
      </c>
      <c r="D101" s="35">
        <v>0.2</v>
      </c>
      <c r="E101" s="35">
        <v>0.09</v>
      </c>
      <c r="F101" s="35">
        <v>0.41</v>
      </c>
      <c r="G101" s="5" t="s">
        <v>11</v>
      </c>
      <c r="H101" s="36"/>
      <c r="I101" s="36"/>
      <c r="J101" s="35">
        <v>0.02</v>
      </c>
      <c r="K101" s="35">
        <v>0.35</v>
      </c>
      <c r="L101" s="35">
        <v>0.05</v>
      </c>
      <c r="M101" s="35">
        <v>0.42</v>
      </c>
    </row>
    <row r="102" spans="1:13">
      <c r="A102" s="35">
        <v>97</v>
      </c>
      <c r="B102" s="5" t="s">
        <v>110</v>
      </c>
      <c r="C102" s="35">
        <v>1.33</v>
      </c>
      <c r="D102" s="35">
        <v>0.11</v>
      </c>
      <c r="E102" s="35">
        <v>0.2</v>
      </c>
      <c r="F102" s="35">
        <v>1.65</v>
      </c>
      <c r="G102" s="5" t="s">
        <v>11</v>
      </c>
      <c r="H102" s="36"/>
      <c r="I102" s="36"/>
      <c r="J102" s="5" t="s">
        <v>64</v>
      </c>
      <c r="K102" s="5" t="s">
        <v>64</v>
      </c>
      <c r="L102" s="5" t="s">
        <v>64</v>
      </c>
      <c r="M102" s="5" t="s">
        <v>64</v>
      </c>
    </row>
    <row r="103" spans="1:13">
      <c r="A103" s="35">
        <v>98</v>
      </c>
      <c r="B103" s="5" t="s">
        <v>111</v>
      </c>
      <c r="C103" s="35">
        <v>0.12</v>
      </c>
      <c r="D103" s="35">
        <v>0.18</v>
      </c>
      <c r="E103" s="35">
        <v>0.21</v>
      </c>
      <c r="F103" s="35">
        <v>0.51</v>
      </c>
      <c r="G103" s="5" t="s">
        <v>11</v>
      </c>
      <c r="H103" s="36"/>
      <c r="I103" s="36"/>
      <c r="J103" s="35">
        <v>0.03</v>
      </c>
      <c r="K103" s="35">
        <v>0.34</v>
      </c>
      <c r="L103" s="35">
        <v>0.13</v>
      </c>
      <c r="M103" s="35">
        <v>0.49</v>
      </c>
    </row>
    <row r="104" spans="1:13">
      <c r="A104" s="35">
        <v>99</v>
      </c>
      <c r="B104" s="5" t="s">
        <v>112</v>
      </c>
      <c r="C104" s="35">
        <v>0.38</v>
      </c>
      <c r="D104" s="35">
        <v>0.15</v>
      </c>
      <c r="E104" s="35">
        <v>0.17</v>
      </c>
      <c r="F104" s="35">
        <v>0.71</v>
      </c>
      <c r="G104" s="5" t="s">
        <v>11</v>
      </c>
      <c r="H104" s="36"/>
      <c r="I104" s="36"/>
      <c r="J104" s="35">
        <v>0.02</v>
      </c>
      <c r="K104" s="35">
        <v>0.21</v>
      </c>
      <c r="L104" s="35">
        <v>0.1</v>
      </c>
      <c r="M104" s="35">
        <v>0.33</v>
      </c>
    </row>
    <row r="105" spans="1:13">
      <c r="A105" s="35">
        <v>100</v>
      </c>
      <c r="B105" s="5" t="s">
        <v>113</v>
      </c>
      <c r="C105" s="35">
        <v>0.91</v>
      </c>
      <c r="D105" s="35">
        <v>0.14000000000000001</v>
      </c>
      <c r="E105" s="35">
        <v>0.16</v>
      </c>
      <c r="F105" s="35">
        <v>1.21</v>
      </c>
      <c r="G105" s="5" t="s">
        <v>11</v>
      </c>
      <c r="H105" s="36"/>
      <c r="I105" s="36"/>
      <c r="J105" s="35">
        <v>0.77</v>
      </c>
      <c r="K105" s="35">
        <v>0.25</v>
      </c>
      <c r="L105" s="35">
        <v>0.09</v>
      </c>
      <c r="M105" s="35">
        <v>1.1100000000000001</v>
      </c>
    </row>
    <row r="106" spans="1:13">
      <c r="A106" s="35">
        <v>101</v>
      </c>
      <c r="B106" s="5" t="s">
        <v>114</v>
      </c>
      <c r="C106" s="35">
        <v>0.28999999999999998</v>
      </c>
      <c r="D106" s="35">
        <v>0.16</v>
      </c>
      <c r="E106" s="35">
        <v>0.13</v>
      </c>
      <c r="F106" s="35">
        <v>0.59</v>
      </c>
      <c r="G106" s="5" t="s">
        <v>11</v>
      </c>
      <c r="H106" s="36"/>
      <c r="I106" s="36"/>
      <c r="J106" s="35">
        <v>0.17</v>
      </c>
      <c r="K106" s="35">
        <v>0.3</v>
      </c>
      <c r="L106" s="35">
        <v>0.09</v>
      </c>
      <c r="M106" s="35">
        <v>0.56000000000000005</v>
      </c>
    </row>
    <row r="107" spans="1:13">
      <c r="A107" s="35">
        <v>102</v>
      </c>
      <c r="B107" s="5" t="s">
        <v>115</v>
      </c>
      <c r="C107" s="35">
        <v>0.06</v>
      </c>
      <c r="D107" s="35">
        <v>0.13</v>
      </c>
      <c r="E107" s="35">
        <v>0.15</v>
      </c>
      <c r="F107" s="35">
        <v>0.34</v>
      </c>
      <c r="G107" s="5" t="s">
        <v>11</v>
      </c>
      <c r="H107" s="36"/>
      <c r="I107" s="36"/>
      <c r="J107" s="35">
        <v>0.01</v>
      </c>
      <c r="K107" s="35">
        <v>0.24</v>
      </c>
      <c r="L107" s="35">
        <v>0.12</v>
      </c>
      <c r="M107" s="35">
        <v>0.36</v>
      </c>
    </row>
    <row r="108" spans="1:13">
      <c r="A108" s="35">
        <v>103</v>
      </c>
      <c r="B108" s="5" t="s">
        <v>116</v>
      </c>
      <c r="C108" s="35">
        <v>0.33</v>
      </c>
      <c r="D108" s="35">
        <v>0.24</v>
      </c>
      <c r="E108" s="35">
        <v>0.14000000000000001</v>
      </c>
      <c r="F108" s="35">
        <v>0.72</v>
      </c>
      <c r="G108" s="5" t="s">
        <v>11</v>
      </c>
      <c r="H108" s="36"/>
      <c r="I108" s="36"/>
      <c r="J108" s="35">
        <v>0.01</v>
      </c>
      <c r="K108" s="35">
        <v>0.36</v>
      </c>
      <c r="L108" s="35">
        <v>0.03</v>
      </c>
      <c r="M108" s="35">
        <v>0.4</v>
      </c>
    </row>
    <row r="109" spans="1:13">
      <c r="A109" s="35">
        <v>104</v>
      </c>
      <c r="B109" s="5" t="s">
        <v>117</v>
      </c>
      <c r="C109" s="35">
        <v>0.09</v>
      </c>
      <c r="D109" s="35">
        <v>0.1</v>
      </c>
      <c r="E109" s="35">
        <v>0.03</v>
      </c>
      <c r="F109" s="35">
        <v>0.23</v>
      </c>
      <c r="G109" s="5" t="s">
        <v>11</v>
      </c>
      <c r="H109" s="36"/>
      <c r="I109" s="36"/>
      <c r="J109" s="35">
        <v>0</v>
      </c>
      <c r="K109" s="35">
        <v>0.22</v>
      </c>
      <c r="L109" s="35">
        <v>0.01</v>
      </c>
      <c r="M109" s="35">
        <v>0.23</v>
      </c>
    </row>
    <row r="110" spans="1:13">
      <c r="A110" s="35">
        <v>105</v>
      </c>
      <c r="B110" s="5" t="s">
        <v>118</v>
      </c>
      <c r="C110" s="35">
        <v>0.15</v>
      </c>
      <c r="D110" s="35">
        <v>0.25</v>
      </c>
      <c r="E110" s="35">
        <v>0.21</v>
      </c>
      <c r="F110" s="35">
        <v>0.61</v>
      </c>
      <c r="G110" s="5" t="s">
        <v>11</v>
      </c>
      <c r="H110" s="36"/>
      <c r="I110" s="36"/>
      <c r="J110" s="35">
        <v>0.63</v>
      </c>
      <c r="K110" s="35">
        <v>0.39</v>
      </c>
      <c r="L110" s="35">
        <v>0.21</v>
      </c>
      <c r="M110" s="35">
        <v>1.22</v>
      </c>
    </row>
    <row r="111" spans="1:13">
      <c r="A111" s="35">
        <v>106</v>
      </c>
      <c r="B111" s="5" t="s">
        <v>119</v>
      </c>
      <c r="C111" s="35">
        <v>0.26</v>
      </c>
      <c r="D111" s="35">
        <v>0.12</v>
      </c>
      <c r="E111" s="35">
        <v>0.12</v>
      </c>
      <c r="F111" s="35">
        <v>0.49</v>
      </c>
      <c r="G111" s="5" t="s">
        <v>11</v>
      </c>
      <c r="H111" s="36"/>
      <c r="I111" s="36"/>
      <c r="J111" s="35">
        <v>4.41</v>
      </c>
      <c r="K111" s="35">
        <v>0.23</v>
      </c>
      <c r="L111" s="35">
        <v>0.03</v>
      </c>
      <c r="M111" s="35">
        <v>4.67</v>
      </c>
    </row>
    <row r="112" spans="1:13">
      <c r="A112" s="35">
        <v>107</v>
      </c>
      <c r="B112" s="5" t="s">
        <v>120</v>
      </c>
      <c r="C112" s="35">
        <v>0.11</v>
      </c>
      <c r="D112" s="35">
        <v>0.18</v>
      </c>
      <c r="E112" s="35">
        <v>0.1</v>
      </c>
      <c r="F112" s="35">
        <v>0.39</v>
      </c>
      <c r="G112" s="5" t="s">
        <v>11</v>
      </c>
      <c r="H112" s="36"/>
      <c r="I112" s="36"/>
      <c r="J112" s="35">
        <v>0.01</v>
      </c>
      <c r="K112" s="35">
        <v>0.33</v>
      </c>
      <c r="L112" s="35">
        <v>7.0000000000000007E-2</v>
      </c>
      <c r="M112" s="35">
        <v>0.41</v>
      </c>
    </row>
    <row r="113" spans="1:13" ht="21" thickBot="1">
      <c r="A113" s="37">
        <v>108</v>
      </c>
      <c r="B113" s="38" t="s">
        <v>121</v>
      </c>
      <c r="C113" s="37">
        <v>0.22</v>
      </c>
      <c r="D113" s="37">
        <v>0.14000000000000001</v>
      </c>
      <c r="E113" s="37">
        <v>0.12</v>
      </c>
      <c r="F113" s="37">
        <v>0.47</v>
      </c>
      <c r="G113" s="38" t="s">
        <v>11</v>
      </c>
      <c r="H113" s="39"/>
      <c r="I113" s="39"/>
      <c r="J113" s="37">
        <v>0</v>
      </c>
      <c r="K113" s="37">
        <v>0.21</v>
      </c>
      <c r="L113" s="37">
        <v>0.01</v>
      </c>
      <c r="M113" s="37">
        <v>0.22</v>
      </c>
    </row>
    <row r="114" spans="1:13">
      <c r="A114" s="36"/>
      <c r="B114" s="5" t="s">
        <v>122</v>
      </c>
      <c r="C114" s="35">
        <v>0.39</v>
      </c>
      <c r="D114" s="35">
        <v>0.2</v>
      </c>
      <c r="E114" s="35">
        <v>0.17</v>
      </c>
      <c r="F114" s="35">
        <v>0.76</v>
      </c>
      <c r="G114" s="36"/>
      <c r="H114" s="36"/>
      <c r="I114" s="36"/>
      <c r="J114" s="35">
        <v>1.82</v>
      </c>
      <c r="K114" s="35">
        <v>0.33</v>
      </c>
      <c r="L114" s="35">
        <v>0.1</v>
      </c>
      <c r="M114" s="35">
        <v>2.2599999999999998</v>
      </c>
    </row>
  </sheetData>
  <mergeCells count="15">
    <mergeCell ref="A1:M2"/>
    <mergeCell ref="A4:A5"/>
    <mergeCell ref="B4:B5"/>
    <mergeCell ref="C4:C5"/>
    <mergeCell ref="D4:D5"/>
    <mergeCell ref="E4:E5"/>
    <mergeCell ref="C3:H3"/>
    <mergeCell ref="J3:M3"/>
    <mergeCell ref="G4:G5"/>
    <mergeCell ref="H4:H5"/>
    <mergeCell ref="K4:K5"/>
    <mergeCell ref="L4:L5"/>
    <mergeCell ref="M4:M5"/>
    <mergeCell ref="J4:J5"/>
    <mergeCell ref="F4:F5"/>
  </mergeCells>
  <phoneticPr fontId="1"/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6F7ED-EDAF-0643-AA1F-3D17B907F7C7}">
  <dimension ref="A1:N118"/>
  <sheetViews>
    <sheetView zoomScaleNormal="125" workbookViewId="0">
      <selection sqref="A1:G2"/>
    </sheetView>
  </sheetViews>
  <sheetFormatPr baseColWidth="10" defaultRowHeight="20"/>
  <cols>
    <col min="1" max="1" width="11.140625" customWidth="1"/>
    <col min="2" max="2" width="17.140625" customWidth="1"/>
    <col min="3" max="7" width="18.7109375" customWidth="1"/>
    <col min="8" max="9" width="27.7109375" bestFit="1" customWidth="1"/>
    <col min="10" max="12" width="19.140625" bestFit="1" customWidth="1"/>
    <col min="13" max="14" width="20.28515625" bestFit="1" customWidth="1"/>
  </cols>
  <sheetData>
    <row r="1" spans="1:14">
      <c r="A1" s="27" t="s">
        <v>612</v>
      </c>
    </row>
    <row r="3" spans="1:14">
      <c r="C3" s="71" t="s">
        <v>623</v>
      </c>
      <c r="D3" s="71"/>
      <c r="E3" s="71"/>
      <c r="F3" s="71"/>
      <c r="G3" s="71"/>
      <c r="I3" s="53"/>
      <c r="J3" s="53"/>
      <c r="K3" s="53"/>
      <c r="L3" s="53"/>
      <c r="M3" s="53"/>
    </row>
    <row r="4" spans="1:14">
      <c r="A4" s="60" t="s">
        <v>537</v>
      </c>
      <c r="B4" s="60" t="s">
        <v>530</v>
      </c>
      <c r="C4" s="60" t="s">
        <v>516</v>
      </c>
      <c r="D4" s="60" t="s">
        <v>515</v>
      </c>
      <c r="E4" s="60" t="s">
        <v>514</v>
      </c>
      <c r="F4" s="60" t="s">
        <v>513</v>
      </c>
      <c r="G4" s="60" t="s">
        <v>512</v>
      </c>
      <c r="I4" s="27"/>
      <c r="J4" s="27"/>
      <c r="K4" s="27"/>
      <c r="L4" s="27"/>
      <c r="M4" s="27"/>
      <c r="N4" s="27"/>
    </row>
    <row r="5" spans="1:14">
      <c r="A5" s="46">
        <v>1</v>
      </c>
      <c r="B5" s="24" t="s">
        <v>529</v>
      </c>
      <c r="C5" s="50">
        <v>1.7999999999999999E-2</v>
      </c>
      <c r="D5" s="47">
        <v>1.9E-3</v>
      </c>
      <c r="E5" s="47">
        <v>1.5E-3</v>
      </c>
      <c r="F5" s="47">
        <v>0</v>
      </c>
      <c r="G5" s="47">
        <v>8.0000000000000004E-4</v>
      </c>
      <c r="I5" s="24"/>
      <c r="J5" s="50"/>
      <c r="K5" s="49"/>
      <c r="L5" s="49"/>
      <c r="M5" s="49"/>
      <c r="N5" s="49"/>
    </row>
    <row r="6" spans="1:14">
      <c r="A6" s="46">
        <v>2</v>
      </c>
      <c r="B6" s="24" t="s">
        <v>528</v>
      </c>
      <c r="C6" s="50">
        <v>1.7000000000000001E-2</v>
      </c>
      <c r="D6" s="47">
        <v>8.2000000000000007E-3</v>
      </c>
      <c r="E6" s="47">
        <v>5.0000000000000001E-4</v>
      </c>
      <c r="F6" s="47">
        <v>0</v>
      </c>
      <c r="G6" s="47">
        <v>0</v>
      </c>
      <c r="I6" s="24"/>
      <c r="J6" s="50"/>
      <c r="K6" s="49"/>
      <c r="L6" s="49"/>
      <c r="M6" s="49"/>
      <c r="N6" s="49"/>
    </row>
    <row r="7" spans="1:14">
      <c r="A7" s="46">
        <v>3</v>
      </c>
      <c r="B7" s="24" t="s">
        <v>527</v>
      </c>
      <c r="C7" s="50">
        <v>5.0000000000000001E-3</v>
      </c>
      <c r="D7" s="47">
        <v>8.0000000000000004E-4</v>
      </c>
      <c r="E7" s="47">
        <v>5.0000000000000001E-4</v>
      </c>
      <c r="F7" s="47">
        <v>4.0000000000000002E-4</v>
      </c>
      <c r="G7" s="47">
        <v>5.9999999999999995E-4</v>
      </c>
      <c r="I7" s="24"/>
      <c r="J7" s="50"/>
      <c r="K7" s="49"/>
      <c r="L7" s="49"/>
      <c r="M7" s="49"/>
      <c r="N7" s="49"/>
    </row>
    <row r="8" spans="1:14">
      <c r="A8" s="46">
        <v>4</v>
      </c>
      <c r="B8" s="24" t="s">
        <v>526</v>
      </c>
      <c r="C8" s="50">
        <v>6.0000000000000001E-3</v>
      </c>
      <c r="D8" s="47">
        <v>1.4E-3</v>
      </c>
      <c r="E8" s="47">
        <v>0</v>
      </c>
      <c r="F8" s="47">
        <v>2.0000000000000001E-4</v>
      </c>
      <c r="G8" s="47">
        <v>2.0000000000000001E-4</v>
      </c>
      <c r="I8" s="24"/>
      <c r="J8" s="50"/>
      <c r="K8" s="49"/>
      <c r="L8" s="49"/>
      <c r="M8" s="49"/>
      <c r="N8" s="49"/>
    </row>
    <row r="9" spans="1:14">
      <c r="A9" s="46">
        <v>5</v>
      </c>
      <c r="B9" s="24" t="s">
        <v>525</v>
      </c>
      <c r="C9" s="50">
        <v>3.3000000000000002E-2</v>
      </c>
      <c r="D9" s="47">
        <v>1.6000000000000001E-3</v>
      </c>
      <c r="E9" s="47">
        <v>1E-4</v>
      </c>
      <c r="F9" s="47">
        <v>0</v>
      </c>
      <c r="G9" s="47">
        <v>0</v>
      </c>
      <c r="I9" s="24"/>
      <c r="J9" s="50"/>
      <c r="K9" s="49"/>
      <c r="L9" s="49"/>
      <c r="M9" s="49"/>
      <c r="N9" s="49"/>
    </row>
    <row r="10" spans="1:14">
      <c r="A10" s="46">
        <v>6</v>
      </c>
      <c r="B10" s="24" t="s">
        <v>524</v>
      </c>
      <c r="C10" s="50">
        <v>4.7E-2</v>
      </c>
      <c r="D10" s="47">
        <v>6.1000000000000004E-3</v>
      </c>
      <c r="E10" s="47">
        <v>1E-4</v>
      </c>
      <c r="F10" s="47">
        <v>0</v>
      </c>
      <c r="G10" s="47">
        <v>1E-4</v>
      </c>
      <c r="I10" s="24"/>
      <c r="J10" s="50"/>
      <c r="K10" s="49"/>
      <c r="L10" s="49"/>
      <c r="M10" s="49"/>
      <c r="N10" s="49"/>
    </row>
    <row r="11" spans="1:14">
      <c r="A11" s="46">
        <v>7</v>
      </c>
      <c r="B11" s="24" t="s">
        <v>523</v>
      </c>
      <c r="C11" s="50">
        <v>6.0000000000000001E-3</v>
      </c>
      <c r="D11" s="47">
        <v>1.1999999999999999E-3</v>
      </c>
      <c r="E11" s="47">
        <v>8.0000000000000004E-4</v>
      </c>
      <c r="F11" s="47">
        <v>4.0000000000000002E-4</v>
      </c>
      <c r="G11" s="47">
        <v>0</v>
      </c>
      <c r="I11" s="24"/>
      <c r="J11" s="50"/>
      <c r="K11" s="49"/>
      <c r="L11" s="49"/>
      <c r="M11" s="49"/>
      <c r="N11" s="49"/>
    </row>
    <row r="12" spans="1:14">
      <c r="A12" s="46">
        <v>8</v>
      </c>
      <c r="B12" s="24" t="s">
        <v>522</v>
      </c>
      <c r="C12" s="50">
        <v>3.4000000000000002E-2</v>
      </c>
      <c r="D12" s="47">
        <v>1.18E-2</v>
      </c>
      <c r="E12" s="47">
        <v>3.8E-3</v>
      </c>
      <c r="F12" s="47">
        <v>2.0000000000000001E-4</v>
      </c>
      <c r="G12" s="47">
        <v>5.0000000000000001E-4</v>
      </c>
      <c r="I12" s="24"/>
      <c r="J12" s="50"/>
      <c r="K12" s="49"/>
      <c r="L12" s="49"/>
      <c r="M12" s="49"/>
      <c r="N12" s="49"/>
    </row>
    <row r="13" spans="1:14">
      <c r="A13" s="46">
        <v>9</v>
      </c>
      <c r="B13" s="24" t="s">
        <v>521</v>
      </c>
      <c r="C13" s="50">
        <v>3.1E-2</v>
      </c>
      <c r="D13" s="47">
        <v>5.0000000000000001E-4</v>
      </c>
      <c r="E13" s="47">
        <v>0</v>
      </c>
      <c r="F13" s="47">
        <v>1E-4</v>
      </c>
      <c r="G13" s="47">
        <v>2.9999999999999997E-4</v>
      </c>
      <c r="I13" s="24"/>
      <c r="J13" s="50"/>
      <c r="K13" s="49"/>
      <c r="L13" s="49"/>
      <c r="M13" s="49"/>
      <c r="N13" s="49"/>
    </row>
    <row r="14" spans="1:14">
      <c r="A14" s="46">
        <v>10</v>
      </c>
      <c r="B14" s="24" t="s">
        <v>520</v>
      </c>
      <c r="C14" s="50">
        <v>2.1999999999999999E-2</v>
      </c>
      <c r="D14" s="47">
        <v>1.2999999999999999E-3</v>
      </c>
      <c r="E14" s="47">
        <v>2.0000000000000001E-4</v>
      </c>
      <c r="F14" s="47">
        <v>1E-4</v>
      </c>
      <c r="G14" s="47">
        <v>0</v>
      </c>
      <c r="I14" s="24"/>
      <c r="J14" s="50"/>
      <c r="K14" s="49"/>
      <c r="L14" s="49"/>
      <c r="M14" s="49"/>
      <c r="N14" s="49"/>
    </row>
    <row r="15" spans="1:14">
      <c r="A15" s="46">
        <v>11</v>
      </c>
      <c r="B15" s="51" t="s">
        <v>13</v>
      </c>
      <c r="C15" s="50">
        <v>3.0000000000000001E-3</v>
      </c>
      <c r="D15" s="47">
        <v>5.9999999999999995E-4</v>
      </c>
      <c r="E15" s="47">
        <v>0</v>
      </c>
      <c r="F15" s="47">
        <v>4.0000000000000002E-4</v>
      </c>
      <c r="G15" s="47">
        <v>0</v>
      </c>
      <c r="J15" s="50"/>
      <c r="K15" s="49"/>
      <c r="L15" s="49"/>
      <c r="M15" s="49"/>
      <c r="N15" s="49"/>
    </row>
    <row r="16" spans="1:14">
      <c r="A16" s="46">
        <v>12</v>
      </c>
      <c r="B16" s="51" t="s">
        <v>14</v>
      </c>
      <c r="C16" s="50">
        <v>2.5999999999999999E-2</v>
      </c>
      <c r="D16" s="47">
        <v>4.0000000000000001E-3</v>
      </c>
      <c r="E16" s="47">
        <v>0</v>
      </c>
      <c r="F16" s="47">
        <v>2.9999999999999997E-4</v>
      </c>
      <c r="G16" s="47">
        <v>1E-4</v>
      </c>
      <c r="J16" s="50"/>
      <c r="K16" s="49"/>
      <c r="L16" s="49"/>
      <c r="M16" s="49"/>
      <c r="N16" s="49"/>
    </row>
    <row r="17" spans="1:14">
      <c r="A17" s="46">
        <v>13</v>
      </c>
      <c r="B17" s="51" t="s">
        <v>15</v>
      </c>
      <c r="C17" s="50">
        <v>1.7999999999999999E-2</v>
      </c>
      <c r="D17" s="47">
        <v>3.7000000000000002E-3</v>
      </c>
      <c r="E17" s="47">
        <v>2.0000000000000001E-4</v>
      </c>
      <c r="F17" s="47">
        <v>2.0000000000000001E-4</v>
      </c>
      <c r="G17" s="47">
        <v>1E-3</v>
      </c>
      <c r="J17" s="50"/>
      <c r="K17" s="49"/>
      <c r="L17" s="49"/>
      <c r="M17" s="49"/>
      <c r="N17" s="49"/>
    </row>
    <row r="18" spans="1:14">
      <c r="A18" s="46">
        <v>14</v>
      </c>
      <c r="B18" s="51" t="s">
        <v>17</v>
      </c>
      <c r="C18" s="50">
        <v>1.4999999999999999E-2</v>
      </c>
      <c r="D18" s="47">
        <v>3.2000000000000002E-3</v>
      </c>
      <c r="E18" s="47">
        <v>1.5E-3</v>
      </c>
      <c r="F18" s="47">
        <v>2.9999999999999997E-4</v>
      </c>
      <c r="G18" s="47">
        <v>0</v>
      </c>
      <c r="I18" s="24"/>
      <c r="J18" s="50"/>
      <c r="K18" s="49"/>
      <c r="L18" s="49"/>
      <c r="M18" s="49"/>
      <c r="N18" s="49"/>
    </row>
    <row r="19" spans="1:14">
      <c r="A19" s="46">
        <v>15</v>
      </c>
      <c r="B19" s="51" t="s">
        <v>18</v>
      </c>
      <c r="C19" s="50">
        <v>8.0000000000000002E-3</v>
      </c>
      <c r="D19" s="47">
        <v>6.0000000000000001E-3</v>
      </c>
      <c r="E19" s="47">
        <v>1.4E-3</v>
      </c>
      <c r="F19" s="47">
        <v>2.0000000000000001E-4</v>
      </c>
      <c r="G19" s="47">
        <v>2.9999999999999997E-4</v>
      </c>
      <c r="J19" s="50"/>
      <c r="K19" s="49"/>
      <c r="L19" s="49"/>
      <c r="M19" s="49"/>
      <c r="N19" s="49"/>
    </row>
    <row r="20" spans="1:14">
      <c r="A20" s="46">
        <v>16</v>
      </c>
      <c r="B20" s="51" t="s">
        <v>19</v>
      </c>
      <c r="C20" s="50">
        <v>2.3E-2</v>
      </c>
      <c r="D20" s="47">
        <v>2.2000000000000001E-3</v>
      </c>
      <c r="E20" s="47">
        <v>2.0000000000000001E-4</v>
      </c>
      <c r="F20" s="47">
        <v>2.9999999999999997E-4</v>
      </c>
      <c r="G20" s="47">
        <v>0</v>
      </c>
      <c r="J20" s="50"/>
      <c r="K20" s="49"/>
      <c r="L20" s="49"/>
      <c r="M20" s="49"/>
      <c r="N20" s="49"/>
    </row>
    <row r="21" spans="1:14">
      <c r="A21" s="46">
        <v>17</v>
      </c>
      <c r="B21" s="51" t="s">
        <v>22</v>
      </c>
      <c r="C21" s="50">
        <v>1.7999999999999999E-2</v>
      </c>
      <c r="D21" s="47">
        <v>1.2200000000000001E-2</v>
      </c>
      <c r="E21" s="47">
        <v>1.6999999999999999E-3</v>
      </c>
      <c r="F21" s="47">
        <v>0</v>
      </c>
      <c r="G21" s="47">
        <v>5.9999999999999995E-4</v>
      </c>
      <c r="J21" s="50"/>
      <c r="K21" s="49"/>
      <c r="L21" s="49"/>
      <c r="M21" s="49"/>
      <c r="N21" s="49"/>
    </row>
    <row r="22" spans="1:14">
      <c r="A22" s="46">
        <v>18</v>
      </c>
      <c r="B22" s="51" t="s">
        <v>24</v>
      </c>
      <c r="C22" s="50">
        <v>5.3999999999999999E-2</v>
      </c>
      <c r="D22" s="47">
        <v>1.6999999999999999E-3</v>
      </c>
      <c r="E22" s="47">
        <v>5.9999999999999995E-4</v>
      </c>
      <c r="F22" s="47">
        <v>0</v>
      </c>
      <c r="G22" s="47">
        <v>1E-4</v>
      </c>
      <c r="H22" s="52"/>
      <c r="I22" s="24"/>
      <c r="J22" s="50"/>
      <c r="K22" s="49"/>
      <c r="L22" s="49"/>
      <c r="M22" s="49"/>
      <c r="N22" s="49"/>
    </row>
    <row r="23" spans="1:14">
      <c r="A23" s="46">
        <v>19</v>
      </c>
      <c r="B23" s="51" t="s">
        <v>25</v>
      </c>
      <c r="C23" s="50">
        <v>2.5000000000000001E-2</v>
      </c>
      <c r="D23" s="47">
        <v>3.0999999999999999E-3</v>
      </c>
      <c r="E23" s="47">
        <v>1E-3</v>
      </c>
      <c r="F23" s="47">
        <v>2.9999999999999997E-4</v>
      </c>
      <c r="G23" s="47">
        <v>8.0000000000000004E-4</v>
      </c>
      <c r="H23" s="52"/>
      <c r="I23" s="24"/>
      <c r="J23" s="50"/>
      <c r="K23" s="49"/>
      <c r="L23" s="49"/>
      <c r="M23" s="49"/>
      <c r="N23" s="49"/>
    </row>
    <row r="24" spans="1:14">
      <c r="A24" s="46">
        <v>20</v>
      </c>
      <c r="B24" s="51" t="s">
        <v>27</v>
      </c>
      <c r="C24" s="50">
        <v>1E-3</v>
      </c>
      <c r="D24" s="47">
        <v>8.0000000000000004E-4</v>
      </c>
      <c r="E24" s="47">
        <v>4.0000000000000002E-4</v>
      </c>
      <c r="F24" s="47">
        <v>2.9999999999999997E-4</v>
      </c>
      <c r="G24" s="47">
        <v>1E-4</v>
      </c>
      <c r="J24" s="50"/>
      <c r="K24" s="49"/>
      <c r="L24" s="49"/>
      <c r="M24" s="49"/>
      <c r="N24" s="49"/>
    </row>
    <row r="25" spans="1:14">
      <c r="A25" s="46">
        <v>21</v>
      </c>
      <c r="B25" s="51" t="s">
        <v>28</v>
      </c>
      <c r="C25" s="50">
        <v>4.7E-2</v>
      </c>
      <c r="D25" s="47">
        <v>7.4000000000000003E-3</v>
      </c>
      <c r="E25" s="47">
        <v>1.1999999999999999E-3</v>
      </c>
      <c r="F25" s="47">
        <v>2.5999999999999999E-3</v>
      </c>
      <c r="G25" s="47">
        <v>1.1000000000000001E-3</v>
      </c>
      <c r="J25" s="50"/>
      <c r="K25" s="49"/>
      <c r="L25" s="49"/>
      <c r="M25" s="49"/>
      <c r="N25" s="49"/>
    </row>
    <row r="26" spans="1:14">
      <c r="A26" s="46">
        <v>22</v>
      </c>
      <c r="B26" s="51" t="s">
        <v>29</v>
      </c>
      <c r="C26" s="50">
        <v>1.9E-2</v>
      </c>
      <c r="D26" s="47">
        <v>1.9E-3</v>
      </c>
      <c r="E26" s="47">
        <v>5.9999999999999995E-4</v>
      </c>
      <c r="F26" s="47">
        <v>1E-4</v>
      </c>
      <c r="G26" s="47">
        <v>1E-4</v>
      </c>
      <c r="J26" s="50"/>
      <c r="K26" s="49"/>
      <c r="L26" s="49"/>
      <c r="M26" s="49"/>
      <c r="N26" s="49"/>
    </row>
    <row r="27" spans="1:14">
      <c r="A27" s="46">
        <v>23</v>
      </c>
      <c r="B27" s="51" t="s">
        <v>30</v>
      </c>
      <c r="C27" s="50">
        <v>2.8000000000000001E-2</v>
      </c>
      <c r="D27" s="47">
        <v>6.3E-3</v>
      </c>
      <c r="E27" s="47">
        <v>8.0000000000000004E-4</v>
      </c>
      <c r="F27" s="47">
        <v>2.9999999999999997E-4</v>
      </c>
      <c r="G27" s="47">
        <v>8.0000000000000004E-4</v>
      </c>
      <c r="J27" s="50"/>
      <c r="K27" s="49"/>
      <c r="L27" s="49"/>
      <c r="M27" s="49"/>
      <c r="N27" s="49"/>
    </row>
    <row r="28" spans="1:14">
      <c r="A28" s="46">
        <v>24</v>
      </c>
      <c r="B28" s="51" t="s">
        <v>31</v>
      </c>
      <c r="C28" s="50">
        <v>3.5999999999999997E-2</v>
      </c>
      <c r="D28" s="47">
        <v>3.0000000000000001E-3</v>
      </c>
      <c r="E28" s="47">
        <v>5.9999999999999995E-4</v>
      </c>
      <c r="F28" s="47">
        <v>1E-4</v>
      </c>
      <c r="G28" s="47">
        <v>2.5000000000000001E-3</v>
      </c>
      <c r="J28" s="50"/>
      <c r="K28" s="49"/>
      <c r="L28" s="49"/>
      <c r="M28" s="49"/>
      <c r="N28" s="49"/>
    </row>
    <row r="29" spans="1:14">
      <c r="A29" s="46">
        <v>25</v>
      </c>
      <c r="B29" s="51" t="s">
        <v>32</v>
      </c>
      <c r="C29" s="50">
        <v>2.1999999999999999E-2</v>
      </c>
      <c r="D29" s="47">
        <v>1.9E-3</v>
      </c>
      <c r="E29" s="47">
        <v>8.0000000000000004E-4</v>
      </c>
      <c r="F29" s="47">
        <v>2.0000000000000001E-4</v>
      </c>
      <c r="G29" s="47">
        <v>0</v>
      </c>
      <c r="J29" s="50"/>
      <c r="K29" s="49"/>
      <c r="L29" s="49"/>
      <c r="M29" s="49"/>
      <c r="N29" s="49"/>
    </row>
    <row r="30" spans="1:14">
      <c r="A30" s="46">
        <v>26</v>
      </c>
      <c r="B30" s="51" t="s">
        <v>33</v>
      </c>
      <c r="C30" s="50">
        <v>7.0000000000000001E-3</v>
      </c>
      <c r="D30" s="47">
        <v>3.2000000000000002E-3</v>
      </c>
      <c r="E30" s="47">
        <v>1.1000000000000001E-3</v>
      </c>
      <c r="F30" s="47">
        <v>5.9999999999999995E-4</v>
      </c>
      <c r="G30" s="47">
        <v>1E-4</v>
      </c>
      <c r="J30" s="50"/>
      <c r="K30" s="49"/>
      <c r="L30" s="49"/>
      <c r="M30" s="49"/>
      <c r="N30" s="49"/>
    </row>
    <row r="31" spans="1:14">
      <c r="A31" s="46">
        <v>27</v>
      </c>
      <c r="B31" s="51" t="s">
        <v>35</v>
      </c>
      <c r="C31" s="50">
        <v>4.0000000000000001E-3</v>
      </c>
      <c r="D31" s="47">
        <v>2.0999999999999999E-3</v>
      </c>
      <c r="E31" s="47">
        <v>2.9999999999999997E-4</v>
      </c>
      <c r="F31" s="47">
        <v>1E-4</v>
      </c>
      <c r="G31" s="47">
        <v>8.0000000000000004E-4</v>
      </c>
      <c r="J31" s="50"/>
      <c r="K31" s="49"/>
      <c r="L31" s="49"/>
      <c r="M31" s="49"/>
      <c r="N31" s="49"/>
    </row>
    <row r="32" spans="1:14">
      <c r="A32" s="46">
        <v>28</v>
      </c>
      <c r="B32" s="51" t="s">
        <v>519</v>
      </c>
      <c r="C32" s="50">
        <v>2.4E-2</v>
      </c>
      <c r="D32" s="47">
        <v>3.0000000000000001E-3</v>
      </c>
      <c r="E32" s="47">
        <v>2.9999999999999997E-4</v>
      </c>
      <c r="F32" s="47">
        <v>1E-3</v>
      </c>
      <c r="G32" s="47">
        <v>8.9999999999999998E-4</v>
      </c>
      <c r="J32" s="50"/>
      <c r="K32" s="49"/>
      <c r="L32" s="49"/>
      <c r="M32" s="49"/>
      <c r="N32" s="49"/>
    </row>
    <row r="33" spans="1:14">
      <c r="A33" s="46">
        <v>29</v>
      </c>
      <c r="B33" s="51" t="s">
        <v>37</v>
      </c>
      <c r="C33" s="50">
        <v>2.1999999999999999E-2</v>
      </c>
      <c r="D33" s="47">
        <v>5.0000000000000001E-4</v>
      </c>
      <c r="E33" s="47">
        <v>0</v>
      </c>
      <c r="F33" s="47">
        <v>1.1999999999999999E-3</v>
      </c>
      <c r="G33" s="47">
        <v>2.9999999999999997E-4</v>
      </c>
      <c r="J33" s="50"/>
      <c r="K33" s="49"/>
      <c r="L33" s="49"/>
      <c r="M33" s="49"/>
      <c r="N33" s="49"/>
    </row>
    <row r="34" spans="1:14">
      <c r="A34" s="46">
        <v>30</v>
      </c>
      <c r="B34" s="51" t="s">
        <v>38</v>
      </c>
      <c r="C34" s="50">
        <v>1.7999999999999999E-2</v>
      </c>
      <c r="D34" s="47">
        <v>3.5000000000000001E-3</v>
      </c>
      <c r="E34" s="47">
        <v>1.9E-3</v>
      </c>
      <c r="F34" s="47">
        <v>0</v>
      </c>
      <c r="G34" s="47">
        <v>2.9999999999999997E-4</v>
      </c>
      <c r="J34" s="50"/>
      <c r="K34" s="49"/>
      <c r="L34" s="49"/>
      <c r="M34" s="49"/>
      <c r="N34" s="49"/>
    </row>
    <row r="35" spans="1:14">
      <c r="A35" s="46">
        <v>31</v>
      </c>
      <c r="B35" s="51" t="s">
        <v>39</v>
      </c>
      <c r="C35" s="50">
        <v>1.2999999999999999E-2</v>
      </c>
      <c r="D35" s="47">
        <v>8.0000000000000004E-4</v>
      </c>
      <c r="E35" s="47">
        <v>4.0000000000000002E-4</v>
      </c>
      <c r="F35" s="47">
        <v>0</v>
      </c>
      <c r="G35" s="47">
        <v>0</v>
      </c>
      <c r="J35" s="50"/>
      <c r="K35" s="49"/>
      <c r="L35" s="49"/>
      <c r="M35" s="49"/>
      <c r="N35" s="49"/>
    </row>
    <row r="36" spans="1:14">
      <c r="A36" s="46">
        <v>32</v>
      </c>
      <c r="B36" s="51" t="s">
        <v>40</v>
      </c>
      <c r="C36" s="50">
        <v>1.7999999999999999E-2</v>
      </c>
      <c r="D36" s="47">
        <v>3.5999999999999999E-3</v>
      </c>
      <c r="E36" s="47">
        <v>2.0000000000000001E-4</v>
      </c>
      <c r="F36" s="47">
        <v>0</v>
      </c>
      <c r="G36" s="47">
        <v>1E-4</v>
      </c>
      <c r="J36" s="50"/>
      <c r="K36" s="49"/>
      <c r="L36" s="49"/>
      <c r="M36" s="49"/>
      <c r="N36" s="49"/>
    </row>
    <row r="37" spans="1:14">
      <c r="A37" s="46">
        <v>33</v>
      </c>
      <c r="B37" s="51" t="s">
        <v>41</v>
      </c>
      <c r="C37" s="50">
        <v>1.2999999999999999E-2</v>
      </c>
      <c r="D37" s="47">
        <v>1.38E-2</v>
      </c>
      <c r="E37" s="47">
        <v>6.9999999999999999E-4</v>
      </c>
      <c r="F37" s="47">
        <v>2.9999999999999997E-4</v>
      </c>
      <c r="G37" s="47">
        <v>1E-4</v>
      </c>
      <c r="J37" s="50"/>
      <c r="K37" s="49"/>
      <c r="L37" s="49"/>
      <c r="M37" s="49"/>
      <c r="N37" s="49"/>
    </row>
    <row r="38" spans="1:14">
      <c r="A38" s="46">
        <v>34</v>
      </c>
      <c r="B38" s="51" t="s">
        <v>42</v>
      </c>
      <c r="C38" s="50">
        <v>4.1000000000000002E-2</v>
      </c>
      <c r="D38" s="47">
        <v>1.1000000000000001E-3</v>
      </c>
      <c r="E38" s="47">
        <v>2.9999999999999997E-4</v>
      </c>
      <c r="F38" s="47">
        <v>1E-3</v>
      </c>
      <c r="G38" s="47">
        <v>0</v>
      </c>
      <c r="J38" s="50"/>
      <c r="K38" s="49"/>
      <c r="L38" s="49"/>
      <c r="M38" s="49"/>
      <c r="N38" s="49"/>
    </row>
    <row r="39" spans="1:14">
      <c r="A39" s="46">
        <v>35</v>
      </c>
      <c r="B39" s="51" t="s">
        <v>43</v>
      </c>
      <c r="C39" s="50">
        <v>7.4999999999999997E-2</v>
      </c>
      <c r="D39" s="47">
        <v>2.0000000000000001E-4</v>
      </c>
      <c r="E39" s="47">
        <v>0</v>
      </c>
      <c r="F39" s="47">
        <v>4.0000000000000002E-4</v>
      </c>
      <c r="G39" s="47">
        <v>1E-4</v>
      </c>
      <c r="J39" s="50"/>
      <c r="K39" s="49"/>
      <c r="L39" s="49"/>
      <c r="M39" s="49"/>
      <c r="N39" s="49"/>
    </row>
    <row r="40" spans="1:14">
      <c r="A40" s="46">
        <v>36</v>
      </c>
      <c r="B40" s="51" t="s">
        <v>44</v>
      </c>
      <c r="C40" s="50">
        <v>1.6E-2</v>
      </c>
      <c r="D40" s="47">
        <v>2.8999999999999998E-3</v>
      </c>
      <c r="E40" s="47">
        <v>2.5999999999999999E-3</v>
      </c>
      <c r="F40" s="47">
        <v>0</v>
      </c>
      <c r="G40" s="47">
        <v>2.0999999999999999E-3</v>
      </c>
      <c r="J40" s="50"/>
      <c r="K40" s="49"/>
      <c r="L40" s="49"/>
      <c r="M40" s="49"/>
      <c r="N40" s="49"/>
    </row>
    <row r="41" spans="1:14">
      <c r="A41" s="46">
        <v>37</v>
      </c>
      <c r="B41" s="51" t="s">
        <v>45</v>
      </c>
      <c r="C41" s="50">
        <v>2.5000000000000001E-2</v>
      </c>
      <c r="D41" s="47">
        <v>2.2000000000000001E-3</v>
      </c>
      <c r="E41" s="47">
        <v>8.9999999999999998E-4</v>
      </c>
      <c r="F41" s="47">
        <v>0</v>
      </c>
      <c r="G41" s="47">
        <v>1E-4</v>
      </c>
      <c r="J41" s="50"/>
      <c r="K41" s="49"/>
      <c r="L41" s="49"/>
      <c r="M41" s="49"/>
      <c r="N41" s="49"/>
    </row>
    <row r="42" spans="1:14">
      <c r="A42" s="46">
        <v>38</v>
      </c>
      <c r="B42" s="51" t="s">
        <v>48</v>
      </c>
      <c r="C42" s="50">
        <v>2.5000000000000001E-2</v>
      </c>
      <c r="D42" s="47">
        <v>1.1999999999999999E-3</v>
      </c>
      <c r="E42" s="47">
        <v>1E-4</v>
      </c>
      <c r="F42" s="47">
        <v>1E-4</v>
      </c>
      <c r="G42" s="47">
        <v>0</v>
      </c>
      <c r="J42" s="50"/>
      <c r="K42" s="49"/>
      <c r="L42" s="49"/>
      <c r="M42" s="49"/>
      <c r="N42" s="49"/>
    </row>
    <row r="43" spans="1:14">
      <c r="A43" s="46">
        <v>39</v>
      </c>
      <c r="B43" s="51" t="s">
        <v>50</v>
      </c>
      <c r="C43" s="50">
        <v>3.5000000000000003E-2</v>
      </c>
      <c r="D43" s="47">
        <v>8.9999999999999998E-4</v>
      </c>
      <c r="E43" s="47">
        <v>5.0000000000000001E-4</v>
      </c>
      <c r="F43" s="47">
        <v>2.9999999999999997E-4</v>
      </c>
      <c r="G43" s="47">
        <v>0</v>
      </c>
      <c r="J43" s="50"/>
      <c r="K43" s="49"/>
      <c r="L43" s="49"/>
      <c r="M43" s="49"/>
      <c r="N43" s="49"/>
    </row>
    <row r="44" spans="1:14">
      <c r="A44" s="46">
        <v>40</v>
      </c>
      <c r="B44" s="51" t="s">
        <v>52</v>
      </c>
      <c r="C44" s="50">
        <v>2.9000000000000001E-2</v>
      </c>
      <c r="D44" s="47">
        <v>1.9E-3</v>
      </c>
      <c r="E44" s="47">
        <v>8.0000000000000004E-4</v>
      </c>
      <c r="F44" s="47">
        <v>1E-4</v>
      </c>
      <c r="G44" s="47">
        <v>1E-4</v>
      </c>
      <c r="J44" s="50"/>
      <c r="K44" s="49"/>
      <c r="L44" s="49"/>
      <c r="M44" s="49"/>
      <c r="N44" s="49"/>
    </row>
    <row r="45" spans="1:14">
      <c r="A45" s="46">
        <v>41</v>
      </c>
      <c r="B45" s="51" t="s">
        <v>53</v>
      </c>
      <c r="C45" s="50">
        <v>3.5999999999999997E-2</v>
      </c>
      <c r="D45" s="47">
        <v>1.1000000000000001E-3</v>
      </c>
      <c r="E45" s="47">
        <v>1E-3</v>
      </c>
      <c r="F45" s="47">
        <v>2.9999999999999997E-4</v>
      </c>
      <c r="G45" s="47">
        <v>2.0000000000000001E-4</v>
      </c>
      <c r="J45" s="50"/>
      <c r="K45" s="49"/>
      <c r="L45" s="49"/>
      <c r="M45" s="49"/>
      <c r="N45" s="49"/>
    </row>
    <row r="46" spans="1:14">
      <c r="A46" s="46">
        <v>42</v>
      </c>
      <c r="B46" s="51" t="s">
        <v>54</v>
      </c>
      <c r="C46" s="50">
        <v>7.2999999999999995E-2</v>
      </c>
      <c r="D46" s="47">
        <v>1.2999999999999999E-3</v>
      </c>
      <c r="E46" s="47">
        <v>2.9999999999999997E-4</v>
      </c>
      <c r="F46" s="47">
        <v>2.0999999999999999E-3</v>
      </c>
      <c r="G46" s="47">
        <v>2.0000000000000001E-4</v>
      </c>
      <c r="J46" s="50"/>
      <c r="K46" s="49"/>
      <c r="L46" s="49"/>
      <c r="M46" s="49"/>
      <c r="N46" s="49"/>
    </row>
    <row r="47" spans="1:14">
      <c r="A47" s="46">
        <v>43</v>
      </c>
      <c r="B47" s="51" t="s">
        <v>55</v>
      </c>
      <c r="C47" s="50">
        <v>1.2E-2</v>
      </c>
      <c r="D47" s="47">
        <v>8.3000000000000001E-3</v>
      </c>
      <c r="E47" s="47">
        <v>2.5999999999999999E-3</v>
      </c>
      <c r="F47" s="47">
        <v>2.0000000000000001E-4</v>
      </c>
      <c r="G47" s="47">
        <v>4.0000000000000002E-4</v>
      </c>
      <c r="J47" s="50"/>
      <c r="K47" s="49"/>
      <c r="L47" s="49"/>
      <c r="M47" s="49"/>
      <c r="N47" s="49"/>
    </row>
    <row r="48" spans="1:14">
      <c r="A48" s="46">
        <v>44</v>
      </c>
      <c r="B48" s="51" t="s">
        <v>56</v>
      </c>
      <c r="C48" s="50">
        <v>3.3000000000000002E-2</v>
      </c>
      <c r="D48" s="47">
        <v>4.0000000000000002E-4</v>
      </c>
      <c r="E48" s="47">
        <v>0</v>
      </c>
      <c r="F48" s="47">
        <v>5.0000000000000001E-4</v>
      </c>
      <c r="G48" s="47">
        <v>4.0000000000000002E-4</v>
      </c>
      <c r="J48" s="50"/>
      <c r="K48" s="49"/>
      <c r="L48" s="49"/>
      <c r="M48" s="49"/>
      <c r="N48" s="49"/>
    </row>
    <row r="49" spans="1:14">
      <c r="A49" s="46">
        <v>45</v>
      </c>
      <c r="B49" s="51" t="s">
        <v>57</v>
      </c>
      <c r="C49" s="50">
        <v>1.2999999999999999E-2</v>
      </c>
      <c r="D49" s="47">
        <v>1.1999999999999999E-3</v>
      </c>
      <c r="E49" s="47">
        <v>2.9999999999999997E-4</v>
      </c>
      <c r="F49" s="47">
        <v>2.9999999999999997E-4</v>
      </c>
      <c r="G49" s="47">
        <v>2.9999999999999997E-4</v>
      </c>
      <c r="J49" s="50"/>
      <c r="K49" s="49"/>
      <c r="L49" s="49"/>
      <c r="M49" s="49"/>
      <c r="N49" s="49"/>
    </row>
    <row r="50" spans="1:14">
      <c r="A50" s="46">
        <v>46</v>
      </c>
      <c r="B50" s="51" t="s">
        <v>58</v>
      </c>
      <c r="C50" s="50">
        <v>4.3999999999999997E-2</v>
      </c>
      <c r="D50" s="47">
        <v>1.1000000000000001E-3</v>
      </c>
      <c r="E50" s="47">
        <v>1.8E-3</v>
      </c>
      <c r="F50" s="47">
        <v>0</v>
      </c>
      <c r="G50" s="47">
        <v>1E-4</v>
      </c>
      <c r="J50" s="50"/>
      <c r="K50" s="49"/>
      <c r="L50" s="49"/>
      <c r="M50" s="49"/>
      <c r="N50" s="49"/>
    </row>
    <row r="51" spans="1:14">
      <c r="A51" s="46">
        <v>47</v>
      </c>
      <c r="B51" s="51" t="s">
        <v>59</v>
      </c>
      <c r="C51" s="50">
        <v>1.0999999999999999E-2</v>
      </c>
      <c r="D51" s="47">
        <v>2E-3</v>
      </c>
      <c r="E51" s="47">
        <v>1.2999999999999999E-3</v>
      </c>
      <c r="F51" s="47">
        <v>1E-4</v>
      </c>
      <c r="G51" s="47">
        <v>0</v>
      </c>
      <c r="J51" s="50"/>
      <c r="K51" s="49"/>
      <c r="L51" s="49"/>
      <c r="M51" s="49"/>
      <c r="N51" s="49"/>
    </row>
    <row r="52" spans="1:14">
      <c r="A52" s="46">
        <v>48</v>
      </c>
      <c r="B52" s="51" t="s">
        <v>60</v>
      </c>
      <c r="C52" s="50">
        <v>7.0000000000000001E-3</v>
      </c>
      <c r="D52" s="47">
        <v>1.9E-3</v>
      </c>
      <c r="E52" s="47">
        <v>0</v>
      </c>
      <c r="F52" s="47">
        <v>0</v>
      </c>
      <c r="G52" s="47">
        <v>2.0000000000000001E-4</v>
      </c>
      <c r="J52" s="50"/>
      <c r="K52" s="49"/>
      <c r="L52" s="49"/>
      <c r="M52" s="49"/>
      <c r="N52" s="49"/>
    </row>
    <row r="53" spans="1:14">
      <c r="A53" s="46">
        <v>49</v>
      </c>
      <c r="B53" s="51" t="s">
        <v>61</v>
      </c>
      <c r="C53" s="50">
        <v>1.4999999999999999E-2</v>
      </c>
      <c r="D53" s="47">
        <v>5.8999999999999999E-3</v>
      </c>
      <c r="E53" s="47">
        <v>5.9999999999999995E-4</v>
      </c>
      <c r="F53" s="47">
        <v>5.0000000000000001E-4</v>
      </c>
      <c r="G53" s="47">
        <v>2.0000000000000001E-4</v>
      </c>
      <c r="J53" s="50"/>
      <c r="K53" s="49"/>
      <c r="L53" s="49"/>
      <c r="M53" s="49"/>
      <c r="N53" s="49"/>
    </row>
    <row r="54" spans="1:14">
      <c r="A54" s="46">
        <v>50</v>
      </c>
      <c r="B54" s="51" t="s">
        <v>62</v>
      </c>
      <c r="C54" s="50">
        <v>2.5999999999999999E-2</v>
      </c>
      <c r="D54" s="47">
        <v>1.6000000000000001E-3</v>
      </c>
      <c r="E54" s="47">
        <v>0</v>
      </c>
      <c r="F54" s="47">
        <v>1E-3</v>
      </c>
      <c r="G54" s="47">
        <v>2.9999999999999997E-4</v>
      </c>
      <c r="J54" s="50"/>
      <c r="K54" s="49"/>
      <c r="L54" s="49"/>
      <c r="M54" s="49"/>
      <c r="N54" s="49"/>
    </row>
    <row r="55" spans="1:14">
      <c r="A55" s="46">
        <v>51</v>
      </c>
      <c r="B55" s="51" t="s">
        <v>518</v>
      </c>
      <c r="C55" s="50">
        <v>5.0000000000000001E-3</v>
      </c>
      <c r="D55" s="47">
        <v>2.3999999999999998E-3</v>
      </c>
      <c r="E55" s="47">
        <v>1E-4</v>
      </c>
      <c r="F55" s="47">
        <v>4.0000000000000002E-4</v>
      </c>
      <c r="G55" s="47">
        <v>1E-4</v>
      </c>
      <c r="J55" s="50"/>
      <c r="K55" s="49"/>
      <c r="L55" s="49"/>
      <c r="M55" s="49"/>
      <c r="N55" s="49"/>
    </row>
    <row r="56" spans="1:14">
      <c r="A56" s="46">
        <v>52</v>
      </c>
      <c r="B56" s="51" t="s">
        <v>65</v>
      </c>
      <c r="C56" s="50">
        <v>3.3000000000000002E-2</v>
      </c>
      <c r="D56" s="47">
        <v>4.0000000000000002E-4</v>
      </c>
      <c r="E56" s="47">
        <v>2.0000000000000001E-4</v>
      </c>
      <c r="F56" s="47">
        <v>2.0000000000000001E-4</v>
      </c>
      <c r="G56" s="47">
        <v>0</v>
      </c>
      <c r="J56" s="50"/>
      <c r="K56" s="49"/>
      <c r="L56" s="49"/>
      <c r="M56" s="49"/>
      <c r="N56" s="49"/>
    </row>
    <row r="57" spans="1:14">
      <c r="A57" s="46">
        <v>53</v>
      </c>
      <c r="B57" s="51" t="s">
        <v>67</v>
      </c>
      <c r="C57" s="50">
        <v>5.7000000000000002E-2</v>
      </c>
      <c r="D57" s="47">
        <v>4.0000000000000002E-4</v>
      </c>
      <c r="E57" s="47">
        <v>2.8999999999999998E-3</v>
      </c>
      <c r="F57" s="47">
        <v>2.0000000000000001E-4</v>
      </c>
      <c r="G57" s="47">
        <v>2.0000000000000001E-4</v>
      </c>
      <c r="J57" s="50"/>
      <c r="K57" s="49"/>
      <c r="L57" s="49"/>
      <c r="M57" s="49"/>
      <c r="N57" s="49"/>
    </row>
    <row r="58" spans="1:14">
      <c r="A58" s="46">
        <v>54</v>
      </c>
      <c r="B58" s="51" t="s">
        <v>68</v>
      </c>
      <c r="C58" s="50">
        <v>1.7999999999999999E-2</v>
      </c>
      <c r="D58" s="47">
        <v>6.7000000000000002E-3</v>
      </c>
      <c r="E58" s="47">
        <v>6.1999999999999998E-3</v>
      </c>
      <c r="F58" s="47">
        <v>8.0000000000000004E-4</v>
      </c>
      <c r="G58" s="47">
        <v>2.9999999999999997E-4</v>
      </c>
      <c r="J58" s="50"/>
      <c r="K58" s="49"/>
      <c r="L58" s="49"/>
      <c r="M58" s="49"/>
      <c r="N58" s="49"/>
    </row>
    <row r="59" spans="1:14">
      <c r="A59" s="46">
        <v>55</v>
      </c>
      <c r="B59" s="51" t="s">
        <v>69</v>
      </c>
      <c r="C59" s="50">
        <v>5.2999999999999999E-2</v>
      </c>
      <c r="D59" s="47">
        <v>3.0000000000000001E-3</v>
      </c>
      <c r="E59" s="47">
        <v>5.0000000000000001E-4</v>
      </c>
      <c r="F59" s="47">
        <v>0</v>
      </c>
      <c r="G59" s="47">
        <v>2.0000000000000001E-4</v>
      </c>
      <c r="J59" s="50"/>
      <c r="K59" s="49"/>
      <c r="L59" s="49"/>
      <c r="M59" s="49"/>
      <c r="N59" s="49"/>
    </row>
    <row r="60" spans="1:14">
      <c r="A60" s="46">
        <v>56</v>
      </c>
      <c r="B60" s="51" t="s">
        <v>71</v>
      </c>
      <c r="C60" s="50">
        <v>1.2E-2</v>
      </c>
      <c r="D60" s="47">
        <v>5.4000000000000003E-3</v>
      </c>
      <c r="E60" s="47">
        <v>2.9999999999999997E-4</v>
      </c>
      <c r="F60" s="47">
        <v>1E-4</v>
      </c>
      <c r="G60" s="47">
        <v>1E-4</v>
      </c>
      <c r="J60" s="50"/>
      <c r="K60" s="49"/>
      <c r="L60" s="49"/>
      <c r="M60" s="49"/>
      <c r="N60" s="49"/>
    </row>
    <row r="61" spans="1:14">
      <c r="A61" s="46">
        <v>57</v>
      </c>
      <c r="B61" s="51" t="s">
        <v>72</v>
      </c>
      <c r="C61" s="50">
        <v>4.5999999999999999E-2</v>
      </c>
      <c r="D61" s="47">
        <v>5.0000000000000001E-4</v>
      </c>
      <c r="E61" s="47">
        <v>1.9E-3</v>
      </c>
      <c r="F61" s="47">
        <v>4.0000000000000002E-4</v>
      </c>
      <c r="G61" s="47">
        <v>5.0000000000000001E-4</v>
      </c>
      <c r="J61" s="50"/>
      <c r="K61" s="49"/>
      <c r="L61" s="49"/>
      <c r="M61" s="49"/>
      <c r="N61" s="49"/>
    </row>
    <row r="62" spans="1:14">
      <c r="A62" s="46">
        <v>58</v>
      </c>
      <c r="B62" s="51" t="s">
        <v>73</v>
      </c>
      <c r="C62" s="50">
        <v>8.9999999999999993E-3</v>
      </c>
      <c r="D62" s="47">
        <v>4.0000000000000002E-4</v>
      </c>
      <c r="E62" s="47">
        <v>1E-4</v>
      </c>
      <c r="F62" s="47">
        <v>1E-4</v>
      </c>
      <c r="G62" s="47">
        <v>0</v>
      </c>
      <c r="J62" s="50"/>
      <c r="K62" s="49"/>
      <c r="L62" s="49"/>
      <c r="M62" s="49"/>
      <c r="N62" s="49"/>
    </row>
    <row r="63" spans="1:14">
      <c r="A63" s="46">
        <v>59</v>
      </c>
      <c r="B63" s="51" t="s">
        <v>74</v>
      </c>
      <c r="C63" s="50">
        <v>2.8000000000000001E-2</v>
      </c>
      <c r="D63" s="47">
        <v>8.9999999999999998E-4</v>
      </c>
      <c r="E63" s="47">
        <v>2.9999999999999997E-4</v>
      </c>
      <c r="F63" s="47">
        <v>5.9999999999999995E-4</v>
      </c>
      <c r="G63" s="47">
        <v>1.9E-3</v>
      </c>
      <c r="J63" s="50"/>
      <c r="K63" s="49"/>
      <c r="L63" s="49"/>
      <c r="M63" s="49"/>
      <c r="N63" s="49"/>
    </row>
    <row r="64" spans="1:14">
      <c r="A64" s="46">
        <v>60</v>
      </c>
      <c r="B64" s="51" t="s">
        <v>75</v>
      </c>
      <c r="C64" s="50">
        <v>1.4E-2</v>
      </c>
      <c r="D64" s="47">
        <v>1E-4</v>
      </c>
      <c r="E64" s="47">
        <v>3.8E-3</v>
      </c>
      <c r="F64" s="47">
        <v>1.5E-3</v>
      </c>
      <c r="G64" s="47">
        <v>0</v>
      </c>
      <c r="J64" s="50"/>
      <c r="K64" s="49"/>
      <c r="L64" s="49"/>
      <c r="M64" s="49"/>
      <c r="N64" s="49"/>
    </row>
    <row r="65" spans="1:14">
      <c r="A65" s="46">
        <v>61</v>
      </c>
      <c r="B65" s="51" t="s">
        <v>76</v>
      </c>
      <c r="C65" s="50">
        <v>1.9E-2</v>
      </c>
      <c r="D65" s="47">
        <v>2.3999999999999998E-3</v>
      </c>
      <c r="E65" s="47">
        <v>1E-4</v>
      </c>
      <c r="F65" s="47">
        <v>0</v>
      </c>
      <c r="G65" s="47">
        <v>6.9999999999999999E-4</v>
      </c>
      <c r="J65" s="50"/>
      <c r="K65" s="49"/>
      <c r="L65" s="49"/>
      <c r="M65" s="49"/>
      <c r="N65" s="49"/>
    </row>
    <row r="66" spans="1:14">
      <c r="A66" s="46">
        <v>62</v>
      </c>
      <c r="B66" s="51" t="s">
        <v>77</v>
      </c>
      <c r="C66" s="50">
        <v>2.1999999999999999E-2</v>
      </c>
      <c r="D66" s="47">
        <v>1.3100000000000001E-2</v>
      </c>
      <c r="E66" s="47">
        <v>6.9999999999999999E-4</v>
      </c>
      <c r="F66" s="47">
        <v>0</v>
      </c>
      <c r="G66" s="47">
        <v>1E-4</v>
      </c>
      <c r="J66" s="50"/>
      <c r="K66" s="49"/>
      <c r="L66" s="49"/>
      <c r="M66" s="49"/>
      <c r="N66" s="49"/>
    </row>
    <row r="67" spans="1:14">
      <c r="A67" s="46">
        <v>63</v>
      </c>
      <c r="B67" s="51" t="s">
        <v>517</v>
      </c>
      <c r="C67" s="50">
        <v>2.5999999999999999E-2</v>
      </c>
      <c r="D67" s="47">
        <v>2.8E-3</v>
      </c>
      <c r="E67" s="47">
        <v>2.0000000000000001E-4</v>
      </c>
      <c r="F67" s="47">
        <v>1E-4</v>
      </c>
      <c r="G67" s="47">
        <v>1E-4</v>
      </c>
      <c r="J67" s="50"/>
      <c r="K67" s="49"/>
      <c r="L67" s="49"/>
      <c r="M67" s="49"/>
      <c r="N67" s="49"/>
    </row>
    <row r="68" spans="1:14">
      <c r="A68" s="46">
        <v>64</v>
      </c>
      <c r="B68" s="51" t="s">
        <v>80</v>
      </c>
      <c r="C68" s="50">
        <v>1.4999999999999999E-2</v>
      </c>
      <c r="D68" s="47">
        <v>5.0000000000000001E-4</v>
      </c>
      <c r="E68" s="47">
        <v>1E-4</v>
      </c>
      <c r="F68" s="47">
        <v>0</v>
      </c>
      <c r="G68" s="47">
        <v>2.0000000000000001E-4</v>
      </c>
      <c r="J68" s="50"/>
      <c r="K68" s="49"/>
      <c r="L68" s="49"/>
      <c r="M68" s="49"/>
      <c r="N68" s="49"/>
    </row>
    <row r="69" spans="1:14">
      <c r="A69" s="46">
        <v>65</v>
      </c>
      <c r="B69" s="51" t="s">
        <v>81</v>
      </c>
      <c r="C69" s="50">
        <v>1.0999999999999999E-2</v>
      </c>
      <c r="D69" s="47">
        <v>2.2000000000000001E-3</v>
      </c>
      <c r="E69" s="47">
        <v>1E-4</v>
      </c>
      <c r="F69" s="47">
        <v>2.9999999999999997E-4</v>
      </c>
      <c r="G69" s="47">
        <v>6.9999999999999999E-4</v>
      </c>
      <c r="J69" s="50"/>
      <c r="K69" s="49"/>
      <c r="L69" s="49"/>
      <c r="M69" s="49"/>
      <c r="N69" s="49"/>
    </row>
    <row r="70" spans="1:14">
      <c r="A70" s="46">
        <v>66</v>
      </c>
      <c r="B70" s="51" t="s">
        <v>82</v>
      </c>
      <c r="C70" s="50">
        <v>2.7E-2</v>
      </c>
      <c r="D70" s="47">
        <v>1.9199999999999998E-2</v>
      </c>
      <c r="E70" s="47">
        <v>2.0000000000000001E-4</v>
      </c>
      <c r="F70" s="47">
        <v>0</v>
      </c>
      <c r="G70" s="47">
        <v>1E-4</v>
      </c>
      <c r="J70" s="50"/>
      <c r="K70" s="49"/>
      <c r="L70" s="49"/>
      <c r="M70" s="49"/>
      <c r="N70" s="49"/>
    </row>
    <row r="71" spans="1:14">
      <c r="A71" s="46">
        <v>67</v>
      </c>
      <c r="B71" s="51" t="s">
        <v>83</v>
      </c>
      <c r="C71" s="50">
        <v>2.7E-2</v>
      </c>
      <c r="D71" s="47">
        <v>2.7000000000000001E-3</v>
      </c>
      <c r="E71" s="47">
        <v>6.9999999999999999E-4</v>
      </c>
      <c r="F71" s="47">
        <v>4.0000000000000002E-4</v>
      </c>
      <c r="G71" s="47">
        <v>4.0000000000000002E-4</v>
      </c>
      <c r="J71" s="50"/>
      <c r="K71" s="49"/>
      <c r="L71" s="49"/>
      <c r="M71" s="49"/>
      <c r="N71" s="49"/>
    </row>
    <row r="72" spans="1:14">
      <c r="A72" s="46">
        <v>68</v>
      </c>
      <c r="B72" s="51" t="s">
        <v>84</v>
      </c>
      <c r="C72" s="50">
        <v>2.7E-2</v>
      </c>
      <c r="D72" s="47">
        <v>2.9999999999999997E-4</v>
      </c>
      <c r="E72" s="47">
        <v>1E-3</v>
      </c>
      <c r="F72" s="47">
        <v>2.9999999999999997E-4</v>
      </c>
      <c r="G72" s="47">
        <v>2.0000000000000001E-4</v>
      </c>
      <c r="J72" s="50"/>
      <c r="K72" s="49"/>
      <c r="L72" s="49"/>
      <c r="M72" s="49"/>
      <c r="N72" s="49"/>
    </row>
    <row r="73" spans="1:14">
      <c r="A73" s="46">
        <v>69</v>
      </c>
      <c r="B73" s="51" t="s">
        <v>85</v>
      </c>
      <c r="C73" s="50">
        <v>1.7000000000000001E-2</v>
      </c>
      <c r="D73" s="47">
        <v>8.9999999999999998E-4</v>
      </c>
      <c r="E73" s="47">
        <v>2.0000000000000001E-4</v>
      </c>
      <c r="F73" s="47">
        <v>1E-4</v>
      </c>
      <c r="G73" s="47">
        <v>1E-4</v>
      </c>
      <c r="J73" s="50"/>
      <c r="K73" s="49"/>
      <c r="L73" s="49"/>
      <c r="M73" s="49"/>
      <c r="N73" s="49"/>
    </row>
    <row r="74" spans="1:14">
      <c r="A74" s="46">
        <v>70</v>
      </c>
      <c r="B74" s="51" t="s">
        <v>86</v>
      </c>
      <c r="C74" s="50">
        <v>6.0000000000000001E-3</v>
      </c>
      <c r="D74" s="47">
        <v>1.1999999999999999E-3</v>
      </c>
      <c r="E74" s="47">
        <v>1.6000000000000001E-3</v>
      </c>
      <c r="F74" s="47">
        <v>1E-4</v>
      </c>
      <c r="G74" s="47">
        <v>1E-4</v>
      </c>
      <c r="J74" s="50"/>
      <c r="K74" s="49"/>
      <c r="L74" s="49"/>
      <c r="M74" s="49"/>
      <c r="N74" s="49"/>
    </row>
    <row r="75" spans="1:14">
      <c r="A75" s="46">
        <v>71</v>
      </c>
      <c r="B75" s="51" t="s">
        <v>87</v>
      </c>
      <c r="C75" s="50">
        <v>1.2999999999999999E-2</v>
      </c>
      <c r="D75" s="47">
        <v>2.0999999999999999E-3</v>
      </c>
      <c r="E75" s="47">
        <v>5.9999999999999995E-4</v>
      </c>
      <c r="F75" s="47">
        <v>1.2999999999999999E-3</v>
      </c>
      <c r="G75" s="47">
        <v>8.9999999999999998E-4</v>
      </c>
      <c r="J75" s="50"/>
      <c r="K75" s="49"/>
      <c r="L75" s="49"/>
      <c r="M75" s="49"/>
      <c r="N75" s="49"/>
    </row>
    <row r="76" spans="1:14">
      <c r="A76" s="46">
        <v>72</v>
      </c>
      <c r="B76" s="51" t="s">
        <v>88</v>
      </c>
      <c r="C76" s="50">
        <v>4.0000000000000001E-3</v>
      </c>
      <c r="D76" s="47">
        <v>1.1000000000000001E-3</v>
      </c>
      <c r="E76" s="47">
        <v>2.9999999999999997E-4</v>
      </c>
      <c r="F76" s="47">
        <v>1E-4</v>
      </c>
      <c r="G76" s="47">
        <v>2.0999999999999999E-3</v>
      </c>
      <c r="J76" s="50"/>
      <c r="K76" s="49"/>
      <c r="L76" s="49"/>
      <c r="M76" s="49"/>
      <c r="N76" s="49"/>
    </row>
    <row r="77" spans="1:14">
      <c r="A77" s="46">
        <v>73</v>
      </c>
      <c r="B77" s="51" t="s">
        <v>89</v>
      </c>
      <c r="C77" s="50">
        <v>8.9999999999999993E-3</v>
      </c>
      <c r="D77" s="47">
        <v>5.0000000000000001E-4</v>
      </c>
      <c r="E77" s="47">
        <v>0</v>
      </c>
      <c r="F77" s="47">
        <v>0</v>
      </c>
      <c r="G77" s="47">
        <v>8.9999999999999998E-4</v>
      </c>
      <c r="J77" s="50"/>
      <c r="K77" s="49"/>
      <c r="L77" s="49"/>
      <c r="M77" s="49"/>
      <c r="N77" s="49"/>
    </row>
    <row r="78" spans="1:14">
      <c r="A78" s="46">
        <v>74</v>
      </c>
      <c r="B78" s="51" t="s">
        <v>90</v>
      </c>
      <c r="C78" s="50">
        <v>5.3999999999999999E-2</v>
      </c>
      <c r="D78" s="47">
        <v>2.5000000000000001E-3</v>
      </c>
      <c r="E78" s="47">
        <v>2.8E-3</v>
      </c>
      <c r="F78" s="47">
        <v>2.9999999999999997E-4</v>
      </c>
      <c r="G78" s="47">
        <v>5.0000000000000001E-4</v>
      </c>
      <c r="J78" s="50"/>
      <c r="K78" s="49"/>
      <c r="L78" s="49"/>
      <c r="M78" s="49"/>
      <c r="N78" s="49"/>
    </row>
    <row r="79" spans="1:14">
      <c r="A79" s="46">
        <v>75</v>
      </c>
      <c r="B79" s="51" t="s">
        <v>91</v>
      </c>
      <c r="C79" s="50">
        <v>0.01</v>
      </c>
      <c r="D79" s="47">
        <v>8.9999999999999998E-4</v>
      </c>
      <c r="E79" s="47">
        <v>4.0000000000000002E-4</v>
      </c>
      <c r="F79" s="47">
        <v>1E-4</v>
      </c>
      <c r="G79" s="47">
        <v>2.0000000000000001E-4</v>
      </c>
      <c r="J79" s="50"/>
      <c r="K79" s="49"/>
      <c r="L79" s="49"/>
      <c r="M79" s="49"/>
      <c r="N79" s="49"/>
    </row>
    <row r="80" spans="1:14">
      <c r="A80" s="46">
        <v>76</v>
      </c>
      <c r="B80" s="51" t="s">
        <v>92</v>
      </c>
      <c r="C80" s="50">
        <v>7.2999999999999995E-2</v>
      </c>
      <c r="D80" s="47">
        <v>1.9E-3</v>
      </c>
      <c r="E80" s="47">
        <v>5.9999999999999995E-4</v>
      </c>
      <c r="F80" s="47">
        <v>2.0000000000000001E-4</v>
      </c>
      <c r="G80" s="47">
        <v>1E-4</v>
      </c>
      <c r="J80" s="50"/>
      <c r="K80" s="49"/>
      <c r="L80" s="49"/>
      <c r="M80" s="49"/>
      <c r="N80" s="49"/>
    </row>
    <row r="81" spans="1:14">
      <c r="A81" s="46">
        <v>77</v>
      </c>
      <c r="B81" s="51" t="s">
        <v>93</v>
      </c>
      <c r="C81" s="50">
        <v>4.1000000000000002E-2</v>
      </c>
      <c r="D81" s="47">
        <v>2.5000000000000001E-3</v>
      </c>
      <c r="E81" s="47">
        <v>5.9999999999999995E-4</v>
      </c>
      <c r="F81" s="47">
        <v>1E-4</v>
      </c>
      <c r="G81" s="47">
        <v>0</v>
      </c>
      <c r="J81" s="50"/>
      <c r="K81" s="49"/>
      <c r="L81" s="49"/>
      <c r="M81" s="49"/>
      <c r="N81" s="49"/>
    </row>
    <row r="82" spans="1:14">
      <c r="A82" s="46">
        <v>78</v>
      </c>
      <c r="B82" s="51" t="s">
        <v>94</v>
      </c>
      <c r="C82" s="50">
        <v>2.1999999999999999E-2</v>
      </c>
      <c r="D82" s="47">
        <v>1.4E-3</v>
      </c>
      <c r="E82" s="47">
        <v>1.1000000000000001E-3</v>
      </c>
      <c r="F82" s="47">
        <v>0</v>
      </c>
      <c r="G82" s="47">
        <v>1E-4</v>
      </c>
      <c r="J82" s="50"/>
      <c r="K82" s="49"/>
      <c r="L82" s="49"/>
      <c r="M82" s="49"/>
      <c r="N82" s="49"/>
    </row>
    <row r="83" spans="1:14">
      <c r="A83" s="46">
        <v>79</v>
      </c>
      <c r="B83" s="51" t="s">
        <v>95</v>
      </c>
      <c r="C83" s="50">
        <v>6.6000000000000003E-2</v>
      </c>
      <c r="D83" s="47">
        <v>1.5E-3</v>
      </c>
      <c r="E83" s="47">
        <v>5.0000000000000001E-4</v>
      </c>
      <c r="F83" s="47">
        <v>3.0000000000000001E-3</v>
      </c>
      <c r="G83" s="47">
        <v>4.0000000000000002E-4</v>
      </c>
      <c r="J83" s="50"/>
      <c r="K83" s="49"/>
      <c r="L83" s="49"/>
      <c r="M83" s="49"/>
      <c r="N83" s="49"/>
    </row>
    <row r="84" spans="1:14">
      <c r="A84" s="46">
        <v>80</v>
      </c>
      <c r="B84" s="51" t="s">
        <v>96</v>
      </c>
      <c r="C84" s="50">
        <v>7.0000000000000001E-3</v>
      </c>
      <c r="D84" s="47">
        <v>3.0000000000000001E-3</v>
      </c>
      <c r="E84" s="47">
        <v>2.9999999999999997E-4</v>
      </c>
      <c r="F84" s="47">
        <v>0</v>
      </c>
      <c r="G84" s="47">
        <v>2.0000000000000001E-4</v>
      </c>
      <c r="J84" s="50"/>
      <c r="K84" s="49"/>
      <c r="L84" s="49"/>
      <c r="M84" s="49"/>
      <c r="N84" s="49"/>
    </row>
    <row r="85" spans="1:14">
      <c r="A85" s="46">
        <v>81</v>
      </c>
      <c r="B85" s="51" t="s">
        <v>97</v>
      </c>
      <c r="C85" s="50">
        <v>2.1000000000000001E-2</v>
      </c>
      <c r="D85" s="47">
        <v>3.5000000000000001E-3</v>
      </c>
      <c r="E85" s="47">
        <v>5.0000000000000001E-4</v>
      </c>
      <c r="F85" s="47">
        <v>1E-4</v>
      </c>
      <c r="G85" s="47">
        <v>5.0000000000000001E-4</v>
      </c>
      <c r="J85" s="50"/>
      <c r="K85" s="49"/>
      <c r="L85" s="49"/>
      <c r="M85" s="49"/>
      <c r="N85" s="49"/>
    </row>
    <row r="86" spans="1:14">
      <c r="A86" s="46">
        <v>82</v>
      </c>
      <c r="B86" s="51" t="s">
        <v>98</v>
      </c>
      <c r="C86" s="50">
        <v>6.7000000000000004E-2</v>
      </c>
      <c r="D86" s="47">
        <v>1.9E-3</v>
      </c>
      <c r="E86" s="47">
        <v>4.0000000000000002E-4</v>
      </c>
      <c r="F86" s="47">
        <v>5.9999999999999995E-4</v>
      </c>
      <c r="G86" s="47">
        <v>6.9999999999999999E-4</v>
      </c>
      <c r="J86" s="50"/>
      <c r="K86" s="49"/>
      <c r="L86" s="49"/>
      <c r="M86" s="49"/>
      <c r="N86" s="49"/>
    </row>
    <row r="87" spans="1:14">
      <c r="A87" s="46">
        <v>83</v>
      </c>
      <c r="B87" s="51" t="s">
        <v>100</v>
      </c>
      <c r="C87" s="50">
        <v>5.8000000000000003E-2</v>
      </c>
      <c r="D87" s="47">
        <v>4.3E-3</v>
      </c>
      <c r="E87" s="47">
        <v>1E-4</v>
      </c>
      <c r="F87" s="47">
        <v>2.0000000000000001E-4</v>
      </c>
      <c r="G87" s="47">
        <v>0</v>
      </c>
      <c r="J87" s="50"/>
      <c r="K87" s="49"/>
      <c r="L87" s="49"/>
      <c r="M87" s="49"/>
      <c r="N87" s="49"/>
    </row>
    <row r="88" spans="1:14">
      <c r="A88" s="46">
        <v>84</v>
      </c>
      <c r="B88" s="51" t="s">
        <v>101</v>
      </c>
      <c r="C88" s="50">
        <v>3.2000000000000001E-2</v>
      </c>
      <c r="D88" s="47">
        <v>3.3E-3</v>
      </c>
      <c r="E88" s="47">
        <v>1.8E-3</v>
      </c>
      <c r="F88" s="47">
        <v>2.9999999999999997E-4</v>
      </c>
      <c r="G88" s="47">
        <v>2.0000000000000001E-4</v>
      </c>
      <c r="J88" s="50"/>
      <c r="K88" s="49"/>
      <c r="L88" s="49"/>
      <c r="M88" s="49"/>
      <c r="N88" s="49"/>
    </row>
    <row r="89" spans="1:14">
      <c r="A89" s="46">
        <v>85</v>
      </c>
      <c r="B89" s="51" t="s">
        <v>102</v>
      </c>
      <c r="C89" s="50">
        <v>5.8000000000000003E-2</v>
      </c>
      <c r="D89" s="47">
        <v>1.1000000000000001E-3</v>
      </c>
      <c r="E89" s="47">
        <v>2.9999999999999997E-4</v>
      </c>
      <c r="F89" s="47">
        <v>1E-3</v>
      </c>
      <c r="G89" s="47">
        <v>2.9999999999999997E-4</v>
      </c>
      <c r="J89" s="50"/>
      <c r="K89" s="49"/>
      <c r="L89" s="49"/>
      <c r="M89" s="49"/>
      <c r="N89" s="49"/>
    </row>
    <row r="90" spans="1:14">
      <c r="A90" s="46">
        <v>86</v>
      </c>
      <c r="B90" s="51" t="s">
        <v>104</v>
      </c>
      <c r="C90" s="50">
        <v>3.4000000000000002E-2</v>
      </c>
      <c r="D90" s="47">
        <v>1.9E-3</v>
      </c>
      <c r="E90" s="47">
        <v>4.0000000000000002E-4</v>
      </c>
      <c r="F90" s="47">
        <v>3.8E-3</v>
      </c>
      <c r="G90" s="47">
        <v>0</v>
      </c>
      <c r="J90" s="50"/>
      <c r="K90" s="49"/>
      <c r="L90" s="49"/>
      <c r="M90" s="49"/>
      <c r="N90" s="49"/>
    </row>
    <row r="91" spans="1:14">
      <c r="A91" s="46">
        <v>87</v>
      </c>
      <c r="B91" s="51" t="s">
        <v>105</v>
      </c>
      <c r="C91" s="50">
        <v>2.5999999999999999E-2</v>
      </c>
      <c r="D91" s="47">
        <v>8.9999999999999998E-4</v>
      </c>
      <c r="E91" s="47">
        <v>1.2999999999999999E-3</v>
      </c>
      <c r="F91" s="47">
        <v>1E-4</v>
      </c>
      <c r="G91" s="47">
        <v>1E-4</v>
      </c>
      <c r="J91" s="50"/>
      <c r="K91" s="49"/>
      <c r="L91" s="49"/>
      <c r="M91" s="49"/>
      <c r="N91" s="49"/>
    </row>
    <row r="92" spans="1:14">
      <c r="A92" s="46">
        <v>88</v>
      </c>
      <c r="B92" s="51" t="s">
        <v>106</v>
      </c>
      <c r="C92" s="50">
        <v>7.0000000000000001E-3</v>
      </c>
      <c r="D92" s="47">
        <v>2.3E-3</v>
      </c>
      <c r="E92" s="47">
        <v>5.9999999999999995E-4</v>
      </c>
      <c r="F92" s="47">
        <v>4.0000000000000002E-4</v>
      </c>
      <c r="G92" s="47">
        <v>0</v>
      </c>
      <c r="J92" s="50"/>
      <c r="K92" s="49"/>
      <c r="L92" s="49"/>
      <c r="M92" s="49"/>
      <c r="N92" s="49"/>
    </row>
    <row r="93" spans="1:14">
      <c r="A93" s="46">
        <v>89</v>
      </c>
      <c r="B93" s="51" t="s">
        <v>107</v>
      </c>
      <c r="C93" s="50">
        <v>2.5999999999999999E-2</v>
      </c>
      <c r="D93" s="47">
        <v>3.5000000000000001E-3</v>
      </c>
      <c r="E93" s="47">
        <v>0</v>
      </c>
      <c r="F93" s="47">
        <v>0</v>
      </c>
      <c r="G93" s="47">
        <v>0</v>
      </c>
      <c r="J93" s="50"/>
      <c r="K93" s="49"/>
      <c r="L93" s="49"/>
      <c r="M93" s="49"/>
      <c r="N93" s="49"/>
    </row>
    <row r="94" spans="1:14">
      <c r="A94" s="46">
        <v>90</v>
      </c>
      <c r="B94" s="51" t="s">
        <v>108</v>
      </c>
      <c r="C94" s="50">
        <v>2.1999999999999999E-2</v>
      </c>
      <c r="D94" s="47">
        <v>1.2999999999999999E-3</v>
      </c>
      <c r="E94" s="47">
        <v>0</v>
      </c>
      <c r="F94" s="47">
        <v>1E-4</v>
      </c>
      <c r="G94" s="47">
        <v>0</v>
      </c>
      <c r="J94" s="50"/>
      <c r="K94" s="49"/>
      <c r="L94" s="49"/>
      <c r="M94" s="49"/>
      <c r="N94" s="49"/>
    </row>
    <row r="95" spans="1:14">
      <c r="A95" s="46">
        <v>91</v>
      </c>
      <c r="B95" s="51" t="s">
        <v>109</v>
      </c>
      <c r="C95" s="50">
        <v>1.2E-2</v>
      </c>
      <c r="D95" s="47">
        <v>2.5000000000000001E-3</v>
      </c>
      <c r="E95" s="47">
        <v>4.0000000000000002E-4</v>
      </c>
      <c r="F95" s="47">
        <v>5.9999999999999995E-4</v>
      </c>
      <c r="G95" s="47">
        <v>2.9999999999999997E-4</v>
      </c>
      <c r="J95" s="50"/>
      <c r="K95" s="49"/>
      <c r="L95" s="49"/>
      <c r="M95" s="49"/>
      <c r="N95" s="49"/>
    </row>
    <row r="96" spans="1:14">
      <c r="A96" s="46">
        <v>92</v>
      </c>
      <c r="B96" s="51" t="s">
        <v>110</v>
      </c>
      <c r="C96" s="50">
        <v>3.0000000000000001E-3</v>
      </c>
      <c r="D96" s="47">
        <v>1.5E-3</v>
      </c>
      <c r="E96" s="47">
        <v>5.9999999999999995E-4</v>
      </c>
      <c r="F96" s="47">
        <v>4.0000000000000002E-4</v>
      </c>
      <c r="G96" s="47">
        <v>5.0000000000000001E-4</v>
      </c>
      <c r="J96" s="50"/>
      <c r="K96" s="49"/>
      <c r="L96" s="49"/>
      <c r="M96" s="49"/>
      <c r="N96" s="49"/>
    </row>
    <row r="97" spans="1:14">
      <c r="A97" s="46">
        <v>93</v>
      </c>
      <c r="B97" s="51" t="s">
        <v>111</v>
      </c>
      <c r="C97" s="50">
        <v>3.0000000000000001E-3</v>
      </c>
      <c r="D97" s="47">
        <v>5.9999999999999995E-4</v>
      </c>
      <c r="E97" s="47">
        <v>2.0000000000000001E-4</v>
      </c>
      <c r="F97" s="47">
        <v>4.0000000000000002E-4</v>
      </c>
      <c r="G97" s="47">
        <v>2.0000000000000001E-4</v>
      </c>
      <c r="J97" s="50"/>
      <c r="K97" s="49"/>
      <c r="L97" s="49"/>
      <c r="M97" s="49"/>
      <c r="N97" s="49"/>
    </row>
    <row r="98" spans="1:14">
      <c r="A98" s="46">
        <v>94</v>
      </c>
      <c r="B98" s="51" t="s">
        <v>114</v>
      </c>
      <c r="C98" s="50">
        <v>4.8000000000000001E-2</v>
      </c>
      <c r="D98" s="47">
        <v>6.9999999999999999E-4</v>
      </c>
      <c r="E98" s="47">
        <v>1.1999999999999999E-3</v>
      </c>
      <c r="F98" s="47">
        <v>0</v>
      </c>
      <c r="G98" s="47">
        <v>2.0000000000000001E-4</v>
      </c>
      <c r="J98" s="50"/>
      <c r="K98" s="49"/>
      <c r="L98" s="49"/>
      <c r="M98" s="49"/>
      <c r="N98" s="49"/>
    </row>
    <row r="99" spans="1:14">
      <c r="A99" s="46">
        <v>95</v>
      </c>
      <c r="B99" s="51" t="s">
        <v>115</v>
      </c>
      <c r="C99" s="50">
        <v>2.5000000000000001E-2</v>
      </c>
      <c r="D99" s="47">
        <v>5.9999999999999995E-4</v>
      </c>
      <c r="E99" s="47">
        <v>2.9999999999999997E-4</v>
      </c>
      <c r="F99" s="47">
        <v>2.7000000000000001E-3</v>
      </c>
      <c r="G99" s="47">
        <v>4.0000000000000002E-4</v>
      </c>
      <c r="J99" s="50"/>
      <c r="K99" s="49"/>
      <c r="L99" s="49"/>
      <c r="M99" s="49"/>
      <c r="N99" s="49"/>
    </row>
    <row r="100" spans="1:14">
      <c r="A100" s="46">
        <v>96</v>
      </c>
      <c r="B100" s="51" t="s">
        <v>116</v>
      </c>
      <c r="C100" s="50">
        <v>3.7999999999999999E-2</v>
      </c>
      <c r="D100" s="47">
        <v>4.7000000000000002E-3</v>
      </c>
      <c r="E100" s="47">
        <v>2.9999999999999997E-4</v>
      </c>
      <c r="F100" s="47">
        <v>8.9999999999999998E-4</v>
      </c>
      <c r="G100" s="47">
        <v>0</v>
      </c>
      <c r="J100" s="50"/>
      <c r="K100" s="49"/>
      <c r="L100" s="49"/>
      <c r="M100" s="49"/>
      <c r="N100" s="49"/>
    </row>
    <row r="101" spans="1:14">
      <c r="A101" s="46">
        <v>97</v>
      </c>
      <c r="B101" s="51" t="s">
        <v>117</v>
      </c>
      <c r="C101" s="50">
        <v>5.7000000000000002E-2</v>
      </c>
      <c r="D101" s="47">
        <v>6.0000000000000001E-3</v>
      </c>
      <c r="E101" s="47">
        <v>1E-4</v>
      </c>
      <c r="F101" s="47">
        <v>1E-3</v>
      </c>
      <c r="G101" s="47">
        <v>4.0000000000000002E-4</v>
      </c>
      <c r="J101" s="50"/>
      <c r="K101" s="49"/>
      <c r="L101" s="49"/>
      <c r="M101" s="49"/>
      <c r="N101" s="49"/>
    </row>
    <row r="102" spans="1:14">
      <c r="A102" s="46">
        <v>98</v>
      </c>
      <c r="B102" s="51" t="s">
        <v>119</v>
      </c>
      <c r="C102" s="50">
        <v>1.4999999999999999E-2</v>
      </c>
      <c r="D102" s="47">
        <v>4.7000000000000002E-3</v>
      </c>
      <c r="E102" s="47">
        <v>1.8E-3</v>
      </c>
      <c r="F102" s="47">
        <v>2.0000000000000001E-4</v>
      </c>
      <c r="G102" s="47">
        <v>0</v>
      </c>
      <c r="J102" s="50"/>
      <c r="K102" s="49"/>
      <c r="L102" s="49"/>
      <c r="M102" s="49"/>
      <c r="N102" s="49"/>
    </row>
    <row r="103" spans="1:14">
      <c r="A103" s="46">
        <v>99</v>
      </c>
      <c r="B103" s="51" t="s">
        <v>120</v>
      </c>
      <c r="C103" s="50">
        <v>1.7000000000000001E-2</v>
      </c>
      <c r="D103" s="47">
        <v>4.7999999999999996E-3</v>
      </c>
      <c r="E103" s="47">
        <v>2.9999999999999997E-4</v>
      </c>
      <c r="F103" s="47">
        <v>1E-4</v>
      </c>
      <c r="G103" s="47">
        <v>2.0000000000000001E-4</v>
      </c>
      <c r="J103" s="50"/>
      <c r="K103" s="49"/>
      <c r="L103" s="49"/>
      <c r="M103" s="49"/>
      <c r="N103" s="49"/>
    </row>
    <row r="104" spans="1:14">
      <c r="A104" s="46">
        <v>100</v>
      </c>
      <c r="B104" s="51" t="s">
        <v>121</v>
      </c>
      <c r="C104" s="50">
        <v>2.5999999999999999E-2</v>
      </c>
      <c r="D104" s="47">
        <v>1E-3</v>
      </c>
      <c r="E104" s="47">
        <v>1E-4</v>
      </c>
      <c r="F104" s="47">
        <v>5.0000000000000001E-4</v>
      </c>
      <c r="G104" s="47">
        <v>1.1999999999999999E-3</v>
      </c>
      <c r="J104" s="50"/>
      <c r="K104" s="49"/>
      <c r="L104" s="49"/>
      <c r="M104" s="49"/>
      <c r="N104" s="49"/>
    </row>
    <row r="106" spans="1:14">
      <c r="C106" s="47"/>
      <c r="D106" s="47"/>
      <c r="E106" s="47"/>
      <c r="F106" s="47"/>
      <c r="G106" s="47"/>
      <c r="H106" s="47"/>
    </row>
    <row r="107" spans="1:14">
      <c r="C107" s="47"/>
      <c r="D107" s="47"/>
      <c r="E107" s="47"/>
      <c r="F107" s="47"/>
      <c r="G107" s="47"/>
      <c r="H107" s="47"/>
    </row>
    <row r="108" spans="1:14">
      <c r="C108" s="47"/>
      <c r="D108" s="47"/>
      <c r="E108" s="47"/>
      <c r="F108" s="47"/>
      <c r="G108" s="47"/>
      <c r="H108" s="47"/>
    </row>
    <row r="109" spans="1:14">
      <c r="C109" s="47"/>
      <c r="D109" s="47"/>
      <c r="E109" s="47"/>
      <c r="F109" s="47"/>
      <c r="G109" s="47"/>
      <c r="H109" s="47"/>
    </row>
    <row r="112" spans="1:14">
      <c r="B112" s="5"/>
    </row>
    <row r="113" spans="2:2">
      <c r="B113" s="5"/>
    </row>
    <row r="118" spans="2:2">
      <c r="B118" s="5"/>
    </row>
  </sheetData>
  <mergeCells count="1">
    <mergeCell ref="C3:G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58C9-6864-E348-8632-AB1BDD61FF13}">
  <dimension ref="A1:D30"/>
  <sheetViews>
    <sheetView zoomScale="113" workbookViewId="0">
      <selection activeCell="H8" sqref="H8"/>
    </sheetView>
  </sheetViews>
  <sheetFormatPr baseColWidth="10" defaultRowHeight="20"/>
  <sheetData>
    <row r="1" spans="1:4" s="24" customFormat="1" ht="16">
      <c r="A1" s="67" t="s">
        <v>531</v>
      </c>
      <c r="B1" s="67"/>
      <c r="C1" s="67"/>
      <c r="D1" s="67"/>
    </row>
    <row r="2" spans="1:4">
      <c r="A2" s="67"/>
      <c r="B2" s="67"/>
      <c r="C2" s="67"/>
      <c r="D2" s="67"/>
    </row>
    <row r="3" spans="1:4" ht="29" thickBot="1">
      <c r="A3" s="40" t="s">
        <v>123</v>
      </c>
      <c r="B3" s="40" t="s">
        <v>124</v>
      </c>
      <c r="C3" s="40" t="s">
        <v>125</v>
      </c>
      <c r="D3" s="40" t="s">
        <v>126</v>
      </c>
    </row>
    <row r="4" spans="1:4">
      <c r="A4" s="41" t="s">
        <v>127</v>
      </c>
      <c r="B4" s="42">
        <v>5.9</v>
      </c>
      <c r="C4" s="42">
        <v>1.4</v>
      </c>
      <c r="D4" s="42">
        <v>4.0999999999999996</v>
      </c>
    </row>
    <row r="5" spans="1:4">
      <c r="A5" s="41" t="s">
        <v>128</v>
      </c>
      <c r="B5" s="42">
        <v>5.4</v>
      </c>
      <c r="C5" s="42">
        <v>1.4</v>
      </c>
      <c r="D5" s="42">
        <v>3.8</v>
      </c>
    </row>
    <row r="6" spans="1:4">
      <c r="A6" s="41" t="s">
        <v>129</v>
      </c>
      <c r="B6" s="42">
        <v>3.1</v>
      </c>
      <c r="C6" s="42">
        <v>0.8</v>
      </c>
      <c r="D6" s="42">
        <v>3.9</v>
      </c>
    </row>
    <row r="7" spans="1:4">
      <c r="A7" s="41" t="s">
        <v>130</v>
      </c>
      <c r="B7" s="42">
        <v>0.4</v>
      </c>
      <c r="C7" s="42">
        <v>0.1</v>
      </c>
      <c r="D7" s="42">
        <v>3.7</v>
      </c>
    </row>
    <row r="8" spans="1:4">
      <c r="A8" s="41" t="s">
        <v>131</v>
      </c>
      <c r="B8" s="42">
        <v>3.3</v>
      </c>
      <c r="C8" s="42">
        <v>0.7</v>
      </c>
      <c r="D8" s="42">
        <v>4.8</v>
      </c>
    </row>
    <row r="9" spans="1:4">
      <c r="A9" s="41" t="s">
        <v>132</v>
      </c>
      <c r="B9" s="42">
        <v>1.5</v>
      </c>
      <c r="C9" s="42">
        <v>0.3</v>
      </c>
      <c r="D9" s="42">
        <v>4.4000000000000004</v>
      </c>
    </row>
    <row r="10" spans="1:4">
      <c r="A10" s="41" t="s">
        <v>133</v>
      </c>
      <c r="B10" s="42">
        <v>2.2000000000000002</v>
      </c>
      <c r="C10" s="42">
        <v>0.5</v>
      </c>
      <c r="D10" s="42">
        <v>4.0999999999999996</v>
      </c>
    </row>
    <row r="11" spans="1:4">
      <c r="A11" s="41" t="s">
        <v>134</v>
      </c>
      <c r="B11" s="42">
        <v>5.2</v>
      </c>
      <c r="C11" s="42">
        <v>1.4</v>
      </c>
      <c r="D11" s="42">
        <v>3.6</v>
      </c>
    </row>
    <row r="12" spans="1:4">
      <c r="A12" s="41" t="s">
        <v>135</v>
      </c>
      <c r="B12" s="42">
        <v>4.3</v>
      </c>
      <c r="C12" s="42">
        <v>1.2</v>
      </c>
      <c r="D12" s="42">
        <v>3.5</v>
      </c>
    </row>
    <row r="13" spans="1:4">
      <c r="A13" s="41" t="s">
        <v>136</v>
      </c>
      <c r="B13" s="42">
        <v>7.7</v>
      </c>
      <c r="C13" s="42">
        <v>2</v>
      </c>
      <c r="D13" s="42">
        <v>3.8</v>
      </c>
    </row>
    <row r="14" spans="1:4">
      <c r="A14" s="41" t="s">
        <v>137</v>
      </c>
      <c r="B14" s="42">
        <v>4.4000000000000004</v>
      </c>
      <c r="C14" s="42">
        <v>1.1000000000000001</v>
      </c>
      <c r="D14" s="42">
        <v>3.9</v>
      </c>
    </row>
    <row r="15" spans="1:4">
      <c r="A15" s="41" t="s">
        <v>138</v>
      </c>
      <c r="B15" s="42">
        <v>7.9</v>
      </c>
      <c r="C15" s="42">
        <v>2.2999999999999998</v>
      </c>
      <c r="D15" s="42">
        <v>3.4</v>
      </c>
    </row>
    <row r="16" spans="1:4">
      <c r="A16" s="41" t="s">
        <v>139</v>
      </c>
      <c r="B16" s="42">
        <v>7.6</v>
      </c>
      <c r="C16" s="42">
        <v>2</v>
      </c>
      <c r="D16" s="42">
        <v>3.8</v>
      </c>
    </row>
    <row r="17" spans="1:4">
      <c r="A17" s="41" t="s">
        <v>140</v>
      </c>
      <c r="B17" s="42">
        <v>6.9</v>
      </c>
      <c r="C17" s="42">
        <v>1.8</v>
      </c>
      <c r="D17" s="42">
        <v>3.7</v>
      </c>
    </row>
    <row r="18" spans="1:4">
      <c r="A18" s="41" t="s">
        <v>141</v>
      </c>
      <c r="B18" s="42">
        <v>6</v>
      </c>
      <c r="C18" s="42">
        <v>1.5</v>
      </c>
      <c r="D18" s="42">
        <v>4</v>
      </c>
    </row>
    <row r="19" spans="1:4">
      <c r="A19" s="41" t="s">
        <v>142</v>
      </c>
      <c r="B19" s="42">
        <v>5.3</v>
      </c>
      <c r="C19" s="42">
        <v>1.5</v>
      </c>
      <c r="D19" s="42">
        <v>3.4</v>
      </c>
    </row>
    <row r="20" spans="1:4">
      <c r="A20" s="41" t="s">
        <v>143</v>
      </c>
      <c r="B20" s="42">
        <v>7.8</v>
      </c>
      <c r="C20" s="42">
        <v>2.4</v>
      </c>
      <c r="D20" s="42">
        <v>3.3</v>
      </c>
    </row>
    <row r="21" spans="1:4">
      <c r="A21" s="41" t="s">
        <v>144</v>
      </c>
      <c r="B21" s="42">
        <v>15.4</v>
      </c>
      <c r="C21" s="42">
        <v>1.8</v>
      </c>
      <c r="D21" s="42">
        <v>8.8000000000000007</v>
      </c>
    </row>
    <row r="22" spans="1:4">
      <c r="A22" s="41" t="s">
        <v>145</v>
      </c>
      <c r="B22" s="42">
        <v>13.1</v>
      </c>
      <c r="C22" s="42">
        <v>1.7</v>
      </c>
      <c r="D22" s="42">
        <v>7.9</v>
      </c>
    </row>
    <row r="23" spans="1:4">
      <c r="A23" s="41" t="s">
        <v>146</v>
      </c>
      <c r="B23" s="42">
        <v>19.3</v>
      </c>
      <c r="C23" s="42">
        <v>2.4</v>
      </c>
      <c r="D23" s="42">
        <v>7.9</v>
      </c>
    </row>
    <row r="24" spans="1:4">
      <c r="A24" s="41" t="s">
        <v>147</v>
      </c>
      <c r="B24" s="42">
        <v>14.4</v>
      </c>
      <c r="C24" s="42">
        <v>2</v>
      </c>
      <c r="D24" s="42">
        <v>7.3</v>
      </c>
    </row>
    <row r="25" spans="1:4">
      <c r="A25" s="41" t="s">
        <v>148</v>
      </c>
      <c r="B25" s="42">
        <v>13.3</v>
      </c>
      <c r="C25" s="42">
        <v>2.5</v>
      </c>
      <c r="D25" s="42">
        <v>5.3</v>
      </c>
    </row>
    <row r="26" spans="1:4">
      <c r="A26" s="41" t="s">
        <v>149</v>
      </c>
      <c r="B26" s="42">
        <v>23.9</v>
      </c>
      <c r="C26" s="42">
        <v>4.0999999999999996</v>
      </c>
      <c r="D26" s="42">
        <v>5.8</v>
      </c>
    </row>
    <row r="27" spans="1:4">
      <c r="A27" s="41" t="s">
        <v>150</v>
      </c>
      <c r="B27" s="42">
        <v>18.899999999999999</v>
      </c>
      <c r="C27" s="42">
        <v>2.6</v>
      </c>
      <c r="D27" s="42">
        <v>7.2</v>
      </c>
    </row>
    <row r="28" spans="1:4">
      <c r="A28" s="41" t="s">
        <v>151</v>
      </c>
      <c r="B28" s="42">
        <v>15.1</v>
      </c>
      <c r="C28" s="42">
        <v>2.2000000000000002</v>
      </c>
      <c r="D28" s="42">
        <v>6.7</v>
      </c>
    </row>
    <row r="29" spans="1:4">
      <c r="A29" s="41" t="s">
        <v>152</v>
      </c>
      <c r="B29" s="42">
        <v>13.3</v>
      </c>
      <c r="C29" s="42">
        <v>1.2</v>
      </c>
      <c r="D29" s="42">
        <v>11.1</v>
      </c>
    </row>
    <row r="30" spans="1:4">
      <c r="A30" s="41" t="s">
        <v>444</v>
      </c>
      <c r="B30" s="43">
        <f>SUM(B4:B29)</f>
        <v>231.60000000000002</v>
      </c>
      <c r="C30" s="43" t="s">
        <v>445</v>
      </c>
      <c r="D30" s="44"/>
    </row>
  </sheetData>
  <mergeCells count="1">
    <mergeCell ref="A1:D2"/>
  </mergeCells>
  <phoneticPr fontId="1"/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A081C-858A-DA48-AAD0-7FC96CA33426}">
  <dimension ref="A1:F8"/>
  <sheetViews>
    <sheetView zoomScale="150" workbookViewId="0">
      <selection activeCell="F8" sqref="F8"/>
    </sheetView>
  </sheetViews>
  <sheetFormatPr baseColWidth="10" defaultRowHeight="20"/>
  <cols>
    <col min="2" max="2" width="12.85546875" customWidth="1"/>
    <col min="3" max="3" width="12.140625" customWidth="1"/>
    <col min="4" max="4" width="14.28515625" customWidth="1"/>
    <col min="5" max="5" width="12.140625" customWidth="1"/>
    <col min="6" max="6" width="16" customWidth="1"/>
  </cols>
  <sheetData>
    <row r="1" spans="1:6" s="24" customFormat="1" ht="16">
      <c r="A1" s="67" t="s">
        <v>532</v>
      </c>
      <c r="B1" s="67"/>
      <c r="C1" s="67"/>
      <c r="D1" s="67"/>
      <c r="E1" s="67"/>
      <c r="F1" s="67"/>
    </row>
    <row r="2" spans="1:6">
      <c r="A2" s="67"/>
      <c r="B2" s="67"/>
      <c r="C2" s="67"/>
      <c r="D2" s="67"/>
      <c r="E2" s="67"/>
      <c r="F2" s="67"/>
    </row>
    <row r="3" spans="1:6" ht="21" thickBot="1">
      <c r="A3" s="3"/>
      <c r="B3" s="4" t="s">
        <v>153</v>
      </c>
      <c r="C3" s="4" t="s">
        <v>154</v>
      </c>
      <c r="D3" s="4" t="s">
        <v>155</v>
      </c>
      <c r="E3" s="4" t="s">
        <v>156</v>
      </c>
      <c r="F3" s="4" t="s">
        <v>157</v>
      </c>
    </row>
    <row r="4" spans="1:6">
      <c r="A4" s="5" t="s">
        <v>158</v>
      </c>
      <c r="B4" s="6">
        <v>9203558</v>
      </c>
      <c r="C4" s="6">
        <v>16547589</v>
      </c>
      <c r="D4" s="6">
        <v>10229619</v>
      </c>
      <c r="E4" s="6">
        <v>35980766</v>
      </c>
      <c r="F4" s="6">
        <v>403559119</v>
      </c>
    </row>
    <row r="5" spans="1:6">
      <c r="A5" s="5" t="s">
        <v>0</v>
      </c>
      <c r="B5" s="6">
        <v>27872</v>
      </c>
      <c r="C5" s="6">
        <v>14891</v>
      </c>
      <c r="D5" s="6">
        <v>12352</v>
      </c>
      <c r="E5" s="6">
        <v>55115</v>
      </c>
      <c r="F5" s="6">
        <v>7307434</v>
      </c>
    </row>
    <row r="6" spans="1:6">
      <c r="A6" s="5" t="s">
        <v>1</v>
      </c>
      <c r="B6" s="6" t="s">
        <v>628</v>
      </c>
      <c r="C6" s="6">
        <v>23373</v>
      </c>
      <c r="D6" s="6">
        <v>7120</v>
      </c>
      <c r="E6" s="6">
        <v>164928</v>
      </c>
      <c r="F6" s="6">
        <v>7050667</v>
      </c>
    </row>
    <row r="8" spans="1:6">
      <c r="A8" s="65" t="s">
        <v>629</v>
      </c>
    </row>
  </sheetData>
  <mergeCells count="1">
    <mergeCell ref="A1:F2"/>
  </mergeCells>
  <phoneticPr fontId="1"/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24AF2-F3C4-6746-A216-5AE4D1558858}">
  <dimension ref="A1:E17"/>
  <sheetViews>
    <sheetView zoomScale="138" workbookViewId="0">
      <selection activeCell="F8" sqref="F8"/>
    </sheetView>
  </sheetViews>
  <sheetFormatPr baseColWidth="10" defaultRowHeight="20"/>
  <cols>
    <col min="1" max="1" width="5.42578125" customWidth="1"/>
    <col min="2" max="2" width="23.7109375" customWidth="1"/>
    <col min="3" max="3" width="17.85546875" customWidth="1"/>
    <col min="4" max="4" width="17" customWidth="1"/>
    <col min="5" max="5" width="11.140625" customWidth="1"/>
  </cols>
  <sheetData>
    <row r="1" spans="1:5" s="24" customFormat="1" ht="16">
      <c r="A1" s="67" t="s">
        <v>533</v>
      </c>
      <c r="B1" s="67"/>
      <c r="C1" s="67"/>
      <c r="D1" s="67"/>
      <c r="E1" s="67"/>
    </row>
    <row r="2" spans="1:5">
      <c r="A2" s="67"/>
      <c r="B2" s="67"/>
      <c r="C2" s="67"/>
      <c r="D2" s="67"/>
      <c r="E2" s="67"/>
    </row>
    <row r="3" spans="1:5">
      <c r="A3" s="66" t="s">
        <v>159</v>
      </c>
      <c r="B3" s="66" t="s">
        <v>491</v>
      </c>
      <c r="C3" s="66" t="s">
        <v>160</v>
      </c>
      <c r="D3" s="66" t="s">
        <v>161</v>
      </c>
      <c r="E3" s="66" t="s">
        <v>162</v>
      </c>
    </row>
    <row r="4" spans="1:5">
      <c r="A4" s="7">
        <v>1</v>
      </c>
      <c r="B4" s="45" t="s">
        <v>490</v>
      </c>
      <c r="C4" s="8" t="s">
        <v>163</v>
      </c>
      <c r="D4" s="8" t="s">
        <v>164</v>
      </c>
      <c r="E4" s="5" t="s">
        <v>21</v>
      </c>
    </row>
    <row r="5" spans="1:5">
      <c r="A5" s="7">
        <v>2</v>
      </c>
      <c r="B5" s="45" t="s">
        <v>63</v>
      </c>
      <c r="C5" s="9" t="s">
        <v>64</v>
      </c>
      <c r="D5" s="9" t="s">
        <v>64</v>
      </c>
      <c r="E5" s="9" t="s">
        <v>64</v>
      </c>
    </row>
    <row r="6" spans="1:5">
      <c r="A6" s="7">
        <v>3</v>
      </c>
      <c r="B6" s="45" t="s">
        <v>492</v>
      </c>
      <c r="C6" s="9" t="s">
        <v>64</v>
      </c>
      <c r="D6" s="9" t="s">
        <v>64</v>
      </c>
      <c r="E6" s="9" t="s">
        <v>64</v>
      </c>
    </row>
    <row r="7" spans="1:5">
      <c r="A7" s="7">
        <v>4</v>
      </c>
      <c r="B7" s="45" t="s">
        <v>493</v>
      </c>
      <c r="C7" s="8" t="s">
        <v>165</v>
      </c>
      <c r="D7" s="8" t="s">
        <v>166</v>
      </c>
      <c r="E7" s="5" t="s">
        <v>167</v>
      </c>
    </row>
    <row r="8" spans="1:5">
      <c r="A8" s="7">
        <v>5</v>
      </c>
      <c r="B8" s="45" t="s">
        <v>495</v>
      </c>
      <c r="C8" s="8" t="s">
        <v>494</v>
      </c>
      <c r="D8" s="8" t="s">
        <v>168</v>
      </c>
      <c r="E8" s="5" t="s">
        <v>167</v>
      </c>
    </row>
    <row r="9" spans="1:5">
      <c r="A9" s="7">
        <v>6</v>
      </c>
      <c r="B9" s="45" t="s">
        <v>497</v>
      </c>
      <c r="C9" s="8" t="s">
        <v>496</v>
      </c>
      <c r="D9" s="8" t="s">
        <v>169</v>
      </c>
      <c r="E9" s="5" t="s">
        <v>21</v>
      </c>
    </row>
    <row r="10" spans="1:5">
      <c r="A10" s="7">
        <v>7</v>
      </c>
      <c r="B10" s="45" t="s">
        <v>498</v>
      </c>
      <c r="C10" s="9" t="s">
        <v>64</v>
      </c>
      <c r="D10" s="9" t="s">
        <v>64</v>
      </c>
      <c r="E10" s="9" t="s">
        <v>64</v>
      </c>
    </row>
    <row r="11" spans="1:5">
      <c r="A11" s="7">
        <v>8</v>
      </c>
      <c r="B11" s="45" t="s">
        <v>500</v>
      </c>
      <c r="C11" s="8" t="s">
        <v>499</v>
      </c>
      <c r="D11" s="8" t="s">
        <v>170</v>
      </c>
      <c r="E11" s="5" t="s">
        <v>21</v>
      </c>
    </row>
    <row r="12" spans="1:5">
      <c r="A12" s="7">
        <v>9</v>
      </c>
      <c r="B12" s="45" t="s">
        <v>502</v>
      </c>
      <c r="C12" s="8" t="s">
        <v>501</v>
      </c>
      <c r="D12" s="8" t="s">
        <v>171</v>
      </c>
      <c r="E12" s="5" t="s">
        <v>21</v>
      </c>
    </row>
    <row r="13" spans="1:5">
      <c r="A13" s="7">
        <v>10</v>
      </c>
      <c r="B13" s="45" t="s">
        <v>504</v>
      </c>
      <c r="C13" s="8" t="s">
        <v>503</v>
      </c>
      <c r="D13" s="8" t="s">
        <v>172</v>
      </c>
      <c r="E13" s="5" t="s">
        <v>21</v>
      </c>
    </row>
    <row r="14" spans="1:5">
      <c r="A14" s="7">
        <v>11</v>
      </c>
      <c r="B14" s="45" t="s">
        <v>506</v>
      </c>
      <c r="C14" s="8" t="s">
        <v>505</v>
      </c>
      <c r="D14" s="8" t="s">
        <v>173</v>
      </c>
      <c r="E14" s="5" t="s">
        <v>21</v>
      </c>
    </row>
    <row r="15" spans="1:5">
      <c r="A15" s="7">
        <v>12</v>
      </c>
      <c r="B15" s="45" t="s">
        <v>510</v>
      </c>
      <c r="C15" s="8" t="s">
        <v>507</v>
      </c>
      <c r="D15" s="8" t="s">
        <v>508</v>
      </c>
      <c r="E15" s="5" t="s">
        <v>21</v>
      </c>
    </row>
    <row r="16" spans="1:5">
      <c r="A16" s="7">
        <v>13</v>
      </c>
      <c r="B16" s="45" t="s">
        <v>511</v>
      </c>
      <c r="C16" s="8" t="s">
        <v>509</v>
      </c>
      <c r="D16" s="8" t="s">
        <v>174</v>
      </c>
      <c r="E16" s="5" t="s">
        <v>21</v>
      </c>
    </row>
    <row r="17" spans="1:5">
      <c r="A17" s="7">
        <v>14</v>
      </c>
      <c r="B17" s="5" t="s">
        <v>104</v>
      </c>
      <c r="C17" s="9" t="s">
        <v>64</v>
      </c>
      <c r="D17" s="9" t="s">
        <v>64</v>
      </c>
      <c r="E17" s="9" t="s">
        <v>64</v>
      </c>
    </row>
  </sheetData>
  <mergeCells count="1">
    <mergeCell ref="A1:E2"/>
  </mergeCells>
  <phoneticPr fontId="1"/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093D2-2F6E-A94D-9A69-525DB703A9FE}">
  <dimension ref="A1:J126"/>
  <sheetViews>
    <sheetView zoomScale="162" workbookViewId="0">
      <selection activeCell="K2" sqref="K2"/>
    </sheetView>
  </sheetViews>
  <sheetFormatPr baseColWidth="10" defaultRowHeight="20"/>
  <cols>
    <col min="1" max="1" width="5" customWidth="1"/>
    <col min="3" max="3" width="3" customWidth="1"/>
    <col min="4" max="4" width="9.140625" customWidth="1"/>
    <col min="5" max="5" width="6.85546875" customWidth="1"/>
    <col min="6" max="6" width="13.42578125" customWidth="1"/>
    <col min="7" max="7" width="9" customWidth="1"/>
    <col min="8" max="8" width="9.140625" customWidth="1"/>
    <col min="9" max="9" width="11.42578125" customWidth="1"/>
    <col min="10" max="10" width="9.42578125" customWidth="1"/>
  </cols>
  <sheetData>
    <row r="1" spans="1:10" s="24" customFormat="1" ht="16">
      <c r="A1" s="67" t="s">
        <v>534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21" thickBot="1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21" thickBot="1">
      <c r="A3" s="10" t="s">
        <v>2</v>
      </c>
      <c r="B3" s="74" t="s">
        <v>175</v>
      </c>
      <c r="C3" s="74"/>
      <c r="D3" s="74"/>
      <c r="E3" s="75" t="s">
        <v>302</v>
      </c>
      <c r="F3" s="75"/>
      <c r="G3" s="10" t="s">
        <v>447</v>
      </c>
      <c r="H3" s="10" t="s">
        <v>176</v>
      </c>
      <c r="I3" s="10" t="s">
        <v>177</v>
      </c>
      <c r="J3" s="10" t="s">
        <v>178</v>
      </c>
    </row>
    <row r="4" spans="1:10">
      <c r="A4" s="12">
        <v>1</v>
      </c>
      <c r="B4" s="76" t="s">
        <v>179</v>
      </c>
      <c r="C4" s="76"/>
      <c r="D4" s="76"/>
      <c r="E4" s="76">
        <v>662</v>
      </c>
      <c r="F4" s="76"/>
      <c r="G4" s="2">
        <v>24</v>
      </c>
      <c r="H4" s="2">
        <v>638</v>
      </c>
      <c r="I4" s="2">
        <v>0</v>
      </c>
      <c r="J4" s="2">
        <v>100</v>
      </c>
    </row>
    <row r="5" spans="1:10">
      <c r="A5" s="12">
        <v>2</v>
      </c>
      <c r="B5" s="73" t="s">
        <v>180</v>
      </c>
      <c r="C5" s="73"/>
      <c r="D5" s="73"/>
      <c r="E5" s="73">
        <v>753</v>
      </c>
      <c r="F5" s="73"/>
      <c r="G5" s="2">
        <v>35</v>
      </c>
      <c r="H5" s="2">
        <v>718</v>
      </c>
      <c r="I5" s="2">
        <v>0</v>
      </c>
      <c r="J5" s="2">
        <v>100</v>
      </c>
    </row>
    <row r="6" spans="1:10">
      <c r="A6" s="12">
        <v>3</v>
      </c>
      <c r="B6" s="73" t="s">
        <v>181</v>
      </c>
      <c r="C6" s="73"/>
      <c r="D6" s="73"/>
      <c r="E6" s="73">
        <v>463</v>
      </c>
      <c r="F6" s="73"/>
      <c r="G6" s="2">
        <v>20</v>
      </c>
      <c r="H6" s="2">
        <v>443</v>
      </c>
      <c r="I6" s="2">
        <v>0</v>
      </c>
      <c r="J6" s="2">
        <v>100</v>
      </c>
    </row>
    <row r="7" spans="1:10">
      <c r="A7" s="12">
        <v>4</v>
      </c>
      <c r="B7" s="73" t="s">
        <v>182</v>
      </c>
      <c r="C7" s="73"/>
      <c r="D7" s="73"/>
      <c r="E7" s="73">
        <v>413</v>
      </c>
      <c r="F7" s="73"/>
      <c r="G7" s="2">
        <v>25</v>
      </c>
      <c r="H7" s="2">
        <v>388</v>
      </c>
      <c r="I7" s="2">
        <v>0</v>
      </c>
      <c r="J7" s="2">
        <v>100</v>
      </c>
    </row>
    <row r="8" spans="1:10">
      <c r="A8" s="12">
        <v>5</v>
      </c>
      <c r="B8" s="73" t="s">
        <v>183</v>
      </c>
      <c r="C8" s="73"/>
      <c r="D8" s="73"/>
      <c r="E8" s="73">
        <v>670</v>
      </c>
      <c r="F8" s="73"/>
      <c r="G8" s="2">
        <v>28</v>
      </c>
      <c r="H8" s="2">
        <v>637</v>
      </c>
      <c r="I8" s="2">
        <v>5</v>
      </c>
      <c r="J8" s="2">
        <v>99.22</v>
      </c>
    </row>
    <row r="9" spans="1:10">
      <c r="A9" s="12">
        <v>6</v>
      </c>
      <c r="B9" s="73" t="s">
        <v>184</v>
      </c>
      <c r="C9" s="73"/>
      <c r="D9" s="73"/>
      <c r="E9" s="73">
        <v>618</v>
      </c>
      <c r="F9" s="73"/>
      <c r="G9" s="2">
        <v>27</v>
      </c>
      <c r="H9" s="2">
        <v>591</v>
      </c>
      <c r="I9" s="2">
        <v>0</v>
      </c>
      <c r="J9" s="2">
        <v>100</v>
      </c>
    </row>
    <row r="10" spans="1:10">
      <c r="A10" s="12">
        <v>7</v>
      </c>
      <c r="B10" s="73" t="s">
        <v>185</v>
      </c>
      <c r="C10" s="73"/>
      <c r="D10" s="73"/>
      <c r="E10" s="73">
        <v>641</v>
      </c>
      <c r="F10" s="73"/>
      <c r="G10" s="2">
        <v>21</v>
      </c>
      <c r="H10" s="2">
        <v>619</v>
      </c>
      <c r="I10" s="2">
        <v>1</v>
      </c>
      <c r="J10" s="2">
        <v>99.84</v>
      </c>
    </row>
    <row r="11" spans="1:10">
      <c r="A11" s="12">
        <v>8</v>
      </c>
      <c r="B11" s="73" t="s">
        <v>186</v>
      </c>
      <c r="C11" s="73"/>
      <c r="D11" s="73"/>
      <c r="E11" s="73">
        <v>632</v>
      </c>
      <c r="F11" s="73"/>
      <c r="G11" s="2">
        <v>29</v>
      </c>
      <c r="H11" s="2">
        <v>603</v>
      </c>
      <c r="I11" s="2">
        <v>0</v>
      </c>
      <c r="J11" s="2">
        <v>100</v>
      </c>
    </row>
    <row r="12" spans="1:10">
      <c r="A12" s="12">
        <v>9</v>
      </c>
      <c r="B12" s="73" t="s">
        <v>187</v>
      </c>
      <c r="C12" s="73"/>
      <c r="D12" s="73"/>
      <c r="E12" s="73">
        <v>497</v>
      </c>
      <c r="F12" s="73"/>
      <c r="G12" s="2">
        <v>41</v>
      </c>
      <c r="H12" s="2">
        <v>456</v>
      </c>
      <c r="I12" s="2">
        <v>0</v>
      </c>
      <c r="J12" s="2">
        <v>100</v>
      </c>
    </row>
    <row r="13" spans="1:10">
      <c r="A13" s="12">
        <v>10</v>
      </c>
      <c r="B13" s="73" t="s">
        <v>188</v>
      </c>
      <c r="C13" s="73"/>
      <c r="D13" s="73"/>
      <c r="E13" s="73">
        <v>475</v>
      </c>
      <c r="F13" s="73"/>
      <c r="G13" s="2" t="s">
        <v>64</v>
      </c>
      <c r="H13" s="2">
        <v>473</v>
      </c>
      <c r="I13" s="2">
        <v>2</v>
      </c>
      <c r="J13" s="2">
        <v>99.58</v>
      </c>
    </row>
    <row r="14" spans="1:10">
      <c r="A14" s="12">
        <v>11</v>
      </c>
      <c r="B14" s="73" t="s">
        <v>189</v>
      </c>
      <c r="C14" s="73"/>
      <c r="D14" s="73"/>
      <c r="E14" s="73">
        <v>523</v>
      </c>
      <c r="F14" s="73"/>
      <c r="G14" s="2" t="s">
        <v>64</v>
      </c>
      <c r="H14" s="2">
        <v>523</v>
      </c>
      <c r="I14" s="2">
        <v>0</v>
      </c>
      <c r="J14" s="2">
        <v>100</v>
      </c>
    </row>
    <row r="15" spans="1:10">
      <c r="A15" s="12">
        <v>12</v>
      </c>
      <c r="B15" s="73" t="s">
        <v>190</v>
      </c>
      <c r="C15" s="73"/>
      <c r="D15" s="73"/>
      <c r="E15" s="73">
        <v>500</v>
      </c>
      <c r="F15" s="73"/>
      <c r="G15" s="2">
        <v>27</v>
      </c>
      <c r="H15" s="2">
        <v>461</v>
      </c>
      <c r="I15" s="2">
        <v>12</v>
      </c>
      <c r="J15" s="2">
        <v>97.46</v>
      </c>
    </row>
    <row r="16" spans="1:10">
      <c r="A16" s="12">
        <v>13</v>
      </c>
      <c r="B16" s="73" t="s">
        <v>191</v>
      </c>
      <c r="C16" s="73"/>
      <c r="D16" s="73"/>
      <c r="E16" s="73">
        <v>516</v>
      </c>
      <c r="F16" s="73"/>
      <c r="G16" s="2">
        <v>22</v>
      </c>
      <c r="H16" s="2">
        <v>494</v>
      </c>
      <c r="I16" s="2">
        <v>0</v>
      </c>
      <c r="J16" s="2">
        <v>100</v>
      </c>
    </row>
    <row r="17" spans="1:10">
      <c r="A17" s="12">
        <v>14</v>
      </c>
      <c r="B17" s="73" t="s">
        <v>192</v>
      </c>
      <c r="C17" s="73"/>
      <c r="D17" s="73"/>
      <c r="E17" s="73">
        <v>671</v>
      </c>
      <c r="F17" s="73"/>
      <c r="G17" s="2">
        <v>34</v>
      </c>
      <c r="H17" s="2">
        <v>637</v>
      </c>
      <c r="I17" s="2">
        <v>0</v>
      </c>
      <c r="J17" s="2">
        <v>100</v>
      </c>
    </row>
    <row r="18" spans="1:10">
      <c r="A18" s="12">
        <v>15</v>
      </c>
      <c r="B18" s="73" t="s">
        <v>193</v>
      </c>
      <c r="C18" s="73"/>
      <c r="D18" s="73"/>
      <c r="E18" s="73">
        <v>610</v>
      </c>
      <c r="F18" s="73"/>
      <c r="G18" s="2">
        <v>26</v>
      </c>
      <c r="H18" s="2">
        <v>583</v>
      </c>
      <c r="I18" s="2">
        <v>1</v>
      </c>
      <c r="J18" s="2">
        <v>99.83</v>
      </c>
    </row>
    <row r="19" spans="1:10">
      <c r="A19" s="12">
        <v>16</v>
      </c>
      <c r="B19" s="73" t="s">
        <v>194</v>
      </c>
      <c r="C19" s="73"/>
      <c r="D19" s="73"/>
      <c r="E19" s="73">
        <v>659</v>
      </c>
      <c r="F19" s="73"/>
      <c r="G19" s="2">
        <v>48</v>
      </c>
      <c r="H19" s="2">
        <v>611</v>
      </c>
      <c r="I19" s="2">
        <v>0</v>
      </c>
      <c r="J19" s="2">
        <v>100</v>
      </c>
    </row>
    <row r="20" spans="1:10">
      <c r="A20" s="12">
        <v>17</v>
      </c>
      <c r="B20" s="73" t="s">
        <v>195</v>
      </c>
      <c r="C20" s="73"/>
      <c r="D20" s="73"/>
      <c r="E20" s="73">
        <v>227</v>
      </c>
      <c r="F20" s="73"/>
      <c r="G20" s="2">
        <v>20</v>
      </c>
      <c r="H20" s="2">
        <v>206</v>
      </c>
      <c r="I20" s="2">
        <v>1</v>
      </c>
      <c r="J20" s="2">
        <v>99.52</v>
      </c>
    </row>
    <row r="21" spans="1:10">
      <c r="A21" s="12">
        <v>18</v>
      </c>
      <c r="B21" s="73" t="s">
        <v>196</v>
      </c>
      <c r="C21" s="73"/>
      <c r="D21" s="73"/>
      <c r="E21" s="73">
        <v>528</v>
      </c>
      <c r="F21" s="73"/>
      <c r="G21" s="2">
        <v>36</v>
      </c>
      <c r="H21" s="2">
        <v>492</v>
      </c>
      <c r="I21" s="2">
        <v>0</v>
      </c>
      <c r="J21" s="2">
        <v>100</v>
      </c>
    </row>
    <row r="22" spans="1:10">
      <c r="A22" s="12">
        <v>19</v>
      </c>
      <c r="B22" s="73" t="s">
        <v>197</v>
      </c>
      <c r="C22" s="73"/>
      <c r="D22" s="73"/>
      <c r="E22" s="73">
        <v>604</v>
      </c>
      <c r="F22" s="73"/>
      <c r="G22" s="2">
        <v>25</v>
      </c>
      <c r="H22" s="2">
        <v>577</v>
      </c>
      <c r="I22" s="2">
        <v>2</v>
      </c>
      <c r="J22" s="2">
        <v>99.65</v>
      </c>
    </row>
    <row r="23" spans="1:10">
      <c r="A23" s="12">
        <v>20</v>
      </c>
      <c r="B23" s="73" t="s">
        <v>198</v>
      </c>
      <c r="C23" s="73"/>
      <c r="D23" s="73"/>
      <c r="E23" s="73">
        <v>580</v>
      </c>
      <c r="F23" s="73"/>
      <c r="G23" s="2">
        <v>29</v>
      </c>
      <c r="H23" s="2">
        <v>549</v>
      </c>
      <c r="I23" s="2">
        <v>2</v>
      </c>
      <c r="J23" s="2">
        <v>99.64</v>
      </c>
    </row>
    <row r="24" spans="1:10">
      <c r="A24" s="12">
        <v>21</v>
      </c>
      <c r="B24" s="73" t="s">
        <v>199</v>
      </c>
      <c r="C24" s="73"/>
      <c r="D24" s="73"/>
      <c r="E24" s="73">
        <v>626</v>
      </c>
      <c r="F24" s="73"/>
      <c r="G24" s="2">
        <v>26</v>
      </c>
      <c r="H24" s="2">
        <v>600</v>
      </c>
      <c r="I24" s="2">
        <v>0</v>
      </c>
      <c r="J24" s="2">
        <v>100</v>
      </c>
    </row>
    <row r="25" spans="1:10">
      <c r="A25" s="12">
        <v>22</v>
      </c>
      <c r="B25" s="73" t="s">
        <v>200</v>
      </c>
      <c r="C25" s="73"/>
      <c r="D25" s="73"/>
      <c r="E25" s="73">
        <v>591</v>
      </c>
      <c r="F25" s="73"/>
      <c r="G25" s="2">
        <v>25</v>
      </c>
      <c r="H25" s="2">
        <v>565</v>
      </c>
      <c r="I25" s="2">
        <v>1</v>
      </c>
      <c r="J25" s="2">
        <v>99.82</v>
      </c>
    </row>
    <row r="26" spans="1:10">
      <c r="A26" s="12">
        <v>23</v>
      </c>
      <c r="B26" s="73" t="s">
        <v>201</v>
      </c>
      <c r="C26" s="73"/>
      <c r="D26" s="73"/>
      <c r="E26" s="73">
        <v>629</v>
      </c>
      <c r="F26" s="73"/>
      <c r="G26" s="2">
        <v>31</v>
      </c>
      <c r="H26" s="2">
        <v>596</v>
      </c>
      <c r="I26" s="2">
        <v>2</v>
      </c>
      <c r="J26" s="2">
        <v>99.67</v>
      </c>
    </row>
    <row r="27" spans="1:10">
      <c r="A27" s="12">
        <v>24</v>
      </c>
      <c r="B27" s="73" t="s">
        <v>202</v>
      </c>
      <c r="C27" s="73"/>
      <c r="D27" s="73"/>
      <c r="E27" s="73">
        <v>608</v>
      </c>
      <c r="F27" s="73"/>
      <c r="G27" s="2">
        <v>18</v>
      </c>
      <c r="H27" s="2">
        <v>590</v>
      </c>
      <c r="I27" s="2">
        <v>0</v>
      </c>
      <c r="J27" s="2">
        <v>100</v>
      </c>
    </row>
    <row r="28" spans="1:10">
      <c r="A28" s="12">
        <v>25</v>
      </c>
      <c r="B28" s="73" t="s">
        <v>203</v>
      </c>
      <c r="C28" s="73"/>
      <c r="D28" s="73"/>
      <c r="E28" s="73">
        <v>455</v>
      </c>
      <c r="F28" s="73"/>
      <c r="G28" s="2">
        <v>27</v>
      </c>
      <c r="H28" s="2">
        <v>427</v>
      </c>
      <c r="I28" s="2">
        <v>1</v>
      </c>
      <c r="J28" s="2">
        <v>99.77</v>
      </c>
    </row>
    <row r="29" spans="1:10">
      <c r="A29" s="12">
        <v>26</v>
      </c>
      <c r="B29" s="73" t="s">
        <v>204</v>
      </c>
      <c r="C29" s="73"/>
      <c r="D29" s="73"/>
      <c r="E29" s="73">
        <v>539</v>
      </c>
      <c r="F29" s="73"/>
      <c r="G29" s="2">
        <v>25</v>
      </c>
      <c r="H29" s="2">
        <v>513</v>
      </c>
      <c r="I29" s="2">
        <v>1</v>
      </c>
      <c r="J29" s="2">
        <v>99.81</v>
      </c>
    </row>
    <row r="30" spans="1:10">
      <c r="A30" s="12">
        <v>27</v>
      </c>
      <c r="B30" s="73" t="s">
        <v>205</v>
      </c>
      <c r="C30" s="73"/>
      <c r="D30" s="73"/>
      <c r="E30" s="73">
        <v>744</v>
      </c>
      <c r="F30" s="73"/>
      <c r="G30" s="2">
        <v>31</v>
      </c>
      <c r="H30" s="2">
        <v>713</v>
      </c>
      <c r="I30" s="2">
        <v>0</v>
      </c>
      <c r="J30" s="2">
        <v>100</v>
      </c>
    </row>
    <row r="31" spans="1:10">
      <c r="A31" s="12">
        <v>28</v>
      </c>
      <c r="B31" s="73" t="s">
        <v>206</v>
      </c>
      <c r="C31" s="73"/>
      <c r="D31" s="73"/>
      <c r="E31" s="73">
        <v>432</v>
      </c>
      <c r="F31" s="73"/>
      <c r="G31" s="2">
        <v>38</v>
      </c>
      <c r="H31" s="2">
        <v>394</v>
      </c>
      <c r="I31" s="2">
        <v>0</v>
      </c>
      <c r="J31" s="2">
        <v>100</v>
      </c>
    </row>
    <row r="32" spans="1:10">
      <c r="A32" s="12">
        <v>29</v>
      </c>
      <c r="B32" s="73" t="s">
        <v>207</v>
      </c>
      <c r="C32" s="73"/>
      <c r="D32" s="73"/>
      <c r="E32" s="73">
        <v>466</v>
      </c>
      <c r="F32" s="73"/>
      <c r="G32" s="2">
        <v>18</v>
      </c>
      <c r="H32" s="2">
        <v>448</v>
      </c>
      <c r="I32" s="2">
        <v>0</v>
      </c>
      <c r="J32" s="2">
        <v>100</v>
      </c>
    </row>
    <row r="33" spans="1:10">
      <c r="A33" s="12">
        <v>30</v>
      </c>
      <c r="B33" s="73" t="s">
        <v>208</v>
      </c>
      <c r="C33" s="73"/>
      <c r="D33" s="73"/>
      <c r="E33" s="73">
        <v>636</v>
      </c>
      <c r="F33" s="73"/>
      <c r="G33" s="2" t="s">
        <v>64</v>
      </c>
      <c r="H33" s="2">
        <v>636</v>
      </c>
      <c r="I33" s="2">
        <v>0</v>
      </c>
      <c r="J33" s="2">
        <v>100</v>
      </c>
    </row>
    <row r="34" spans="1:10">
      <c r="A34" s="12">
        <v>31</v>
      </c>
      <c r="B34" s="73" t="s">
        <v>209</v>
      </c>
      <c r="C34" s="73"/>
      <c r="D34" s="73"/>
      <c r="E34" s="73">
        <v>517</v>
      </c>
      <c r="F34" s="73"/>
      <c r="G34" s="2">
        <v>37</v>
      </c>
      <c r="H34" s="2">
        <v>480</v>
      </c>
      <c r="I34" s="2">
        <v>0</v>
      </c>
      <c r="J34" s="2">
        <v>100</v>
      </c>
    </row>
    <row r="35" spans="1:10">
      <c r="A35" s="12">
        <v>32</v>
      </c>
      <c r="B35" s="73" t="s">
        <v>210</v>
      </c>
      <c r="C35" s="73"/>
      <c r="D35" s="73"/>
      <c r="E35" s="73">
        <v>673</v>
      </c>
      <c r="F35" s="73"/>
      <c r="G35" s="2">
        <v>22</v>
      </c>
      <c r="H35" s="2">
        <v>651</v>
      </c>
      <c r="I35" s="2">
        <v>0</v>
      </c>
      <c r="J35" s="2">
        <v>100</v>
      </c>
    </row>
    <row r="36" spans="1:10">
      <c r="A36" s="12">
        <v>33</v>
      </c>
      <c r="B36" s="73" t="s">
        <v>211</v>
      </c>
      <c r="C36" s="73"/>
      <c r="D36" s="73"/>
      <c r="E36" s="73">
        <v>576</v>
      </c>
      <c r="F36" s="73"/>
      <c r="G36" s="2">
        <v>14</v>
      </c>
      <c r="H36" s="2">
        <v>560</v>
      </c>
      <c r="I36" s="2">
        <v>2</v>
      </c>
      <c r="J36" s="2">
        <v>99.64</v>
      </c>
    </row>
    <row r="37" spans="1:10">
      <c r="A37" s="12">
        <v>34</v>
      </c>
      <c r="B37" s="73" t="s">
        <v>212</v>
      </c>
      <c r="C37" s="73"/>
      <c r="D37" s="73"/>
      <c r="E37" s="73">
        <v>638</v>
      </c>
      <c r="F37" s="73"/>
      <c r="G37" s="2">
        <v>8</v>
      </c>
      <c r="H37" s="2">
        <v>627</v>
      </c>
      <c r="I37" s="2">
        <v>3</v>
      </c>
      <c r="J37" s="2">
        <v>99.52</v>
      </c>
    </row>
    <row r="38" spans="1:10">
      <c r="A38" s="12">
        <v>35</v>
      </c>
      <c r="B38" s="73" t="s">
        <v>213</v>
      </c>
      <c r="C38" s="73"/>
      <c r="D38" s="73"/>
      <c r="E38" s="73">
        <v>618</v>
      </c>
      <c r="F38" s="73"/>
      <c r="G38" s="2">
        <v>22</v>
      </c>
      <c r="H38" s="2">
        <v>594</v>
      </c>
      <c r="I38" s="2">
        <v>2</v>
      </c>
      <c r="J38" s="2">
        <v>99.66</v>
      </c>
    </row>
    <row r="39" spans="1:10">
      <c r="A39" s="12">
        <v>36</v>
      </c>
      <c r="B39" s="73" t="s">
        <v>214</v>
      </c>
      <c r="C39" s="73"/>
      <c r="D39" s="73"/>
      <c r="E39" s="73">
        <v>549</v>
      </c>
      <c r="F39" s="73"/>
      <c r="G39" s="2">
        <v>22</v>
      </c>
      <c r="H39" s="2">
        <v>525</v>
      </c>
      <c r="I39" s="2">
        <v>2</v>
      </c>
      <c r="J39" s="2">
        <v>99.62</v>
      </c>
    </row>
    <row r="40" spans="1:10">
      <c r="A40" s="12">
        <v>37</v>
      </c>
      <c r="B40" s="73" t="s">
        <v>215</v>
      </c>
      <c r="C40" s="73"/>
      <c r="D40" s="73"/>
      <c r="E40" s="73">
        <v>555</v>
      </c>
      <c r="F40" s="73"/>
      <c r="G40" s="2" t="s">
        <v>64</v>
      </c>
      <c r="H40" s="2">
        <v>555</v>
      </c>
      <c r="I40" s="2">
        <v>0</v>
      </c>
      <c r="J40" s="2">
        <v>100</v>
      </c>
    </row>
    <row r="41" spans="1:10">
      <c r="A41" s="12">
        <v>38</v>
      </c>
      <c r="B41" s="73" t="s">
        <v>216</v>
      </c>
      <c r="C41" s="73"/>
      <c r="D41" s="73"/>
      <c r="E41" s="73">
        <v>611</v>
      </c>
      <c r="F41" s="73"/>
      <c r="G41" s="2">
        <v>17</v>
      </c>
      <c r="H41" s="2">
        <v>594</v>
      </c>
      <c r="I41" s="2">
        <v>0</v>
      </c>
      <c r="J41" s="2">
        <v>100</v>
      </c>
    </row>
    <row r="42" spans="1:10">
      <c r="A42" s="12">
        <v>39</v>
      </c>
      <c r="B42" s="73" t="s">
        <v>217</v>
      </c>
      <c r="C42" s="73"/>
      <c r="D42" s="73"/>
      <c r="E42" s="73">
        <v>532</v>
      </c>
      <c r="F42" s="73"/>
      <c r="G42" s="2">
        <v>13</v>
      </c>
      <c r="H42" s="2">
        <v>519</v>
      </c>
      <c r="I42" s="2">
        <v>0</v>
      </c>
      <c r="J42" s="2">
        <v>100</v>
      </c>
    </row>
    <row r="43" spans="1:10">
      <c r="A43" s="12">
        <v>40</v>
      </c>
      <c r="B43" s="73" t="s">
        <v>218</v>
      </c>
      <c r="C43" s="73"/>
      <c r="D43" s="73"/>
      <c r="E43" s="73">
        <v>600</v>
      </c>
      <c r="F43" s="73"/>
      <c r="G43" s="2">
        <v>14</v>
      </c>
      <c r="H43" s="2">
        <v>582</v>
      </c>
      <c r="I43" s="2">
        <v>4</v>
      </c>
      <c r="J43" s="2">
        <v>99.32</v>
      </c>
    </row>
    <row r="44" spans="1:10">
      <c r="A44" s="12">
        <v>41</v>
      </c>
      <c r="B44" s="73" t="s">
        <v>219</v>
      </c>
      <c r="C44" s="73"/>
      <c r="D44" s="73"/>
      <c r="E44" s="73">
        <v>712</v>
      </c>
      <c r="F44" s="73"/>
      <c r="G44" s="2">
        <v>29</v>
      </c>
      <c r="H44" s="2">
        <v>683</v>
      </c>
      <c r="I44" s="2">
        <v>0</v>
      </c>
      <c r="J44" s="2">
        <v>100</v>
      </c>
    </row>
    <row r="45" spans="1:10">
      <c r="A45" s="12">
        <v>42</v>
      </c>
      <c r="B45" s="73" t="s">
        <v>220</v>
      </c>
      <c r="C45" s="73"/>
      <c r="D45" s="73"/>
      <c r="E45" s="73">
        <v>572</v>
      </c>
      <c r="F45" s="73"/>
      <c r="G45" s="2">
        <v>29</v>
      </c>
      <c r="H45" s="2">
        <v>543</v>
      </c>
      <c r="I45" s="2">
        <v>0</v>
      </c>
      <c r="J45" s="2">
        <v>100</v>
      </c>
    </row>
    <row r="46" spans="1:10">
      <c r="A46" s="12">
        <v>43</v>
      </c>
      <c r="B46" s="73" t="s">
        <v>221</v>
      </c>
      <c r="C46" s="73"/>
      <c r="D46" s="73"/>
      <c r="E46" s="73">
        <v>677</v>
      </c>
      <c r="F46" s="73"/>
      <c r="G46" s="2">
        <v>31</v>
      </c>
      <c r="H46" s="2">
        <v>646</v>
      </c>
      <c r="I46" s="2">
        <v>0</v>
      </c>
      <c r="J46" s="2">
        <v>100</v>
      </c>
    </row>
    <row r="47" spans="1:10">
      <c r="A47" s="12">
        <v>44</v>
      </c>
      <c r="B47" s="73" t="s">
        <v>222</v>
      </c>
      <c r="C47" s="73"/>
      <c r="D47" s="73"/>
      <c r="E47" s="73">
        <v>639</v>
      </c>
      <c r="F47" s="73"/>
      <c r="G47" s="2">
        <v>39</v>
      </c>
      <c r="H47" s="2">
        <v>600</v>
      </c>
      <c r="I47" s="2">
        <v>0</v>
      </c>
      <c r="J47" s="2">
        <v>100</v>
      </c>
    </row>
    <row r="48" spans="1:10">
      <c r="A48" s="12">
        <v>45</v>
      </c>
      <c r="B48" s="73" t="s">
        <v>223</v>
      </c>
      <c r="C48" s="73"/>
      <c r="D48" s="73"/>
      <c r="E48" s="73">
        <v>522</v>
      </c>
      <c r="F48" s="73"/>
      <c r="G48" s="2">
        <v>32</v>
      </c>
      <c r="H48" s="2">
        <v>489</v>
      </c>
      <c r="I48" s="2">
        <v>1</v>
      </c>
      <c r="J48" s="2">
        <v>99.8</v>
      </c>
    </row>
    <row r="49" spans="1:10">
      <c r="A49" s="12">
        <v>46</v>
      </c>
      <c r="B49" s="73" t="s">
        <v>224</v>
      </c>
      <c r="C49" s="73"/>
      <c r="D49" s="73"/>
      <c r="E49" s="73">
        <v>559</v>
      </c>
      <c r="F49" s="73"/>
      <c r="G49" s="2">
        <v>30</v>
      </c>
      <c r="H49" s="2">
        <v>529</v>
      </c>
      <c r="I49" s="2">
        <v>0</v>
      </c>
      <c r="J49" s="2">
        <v>100</v>
      </c>
    </row>
    <row r="50" spans="1:10">
      <c r="A50" s="12">
        <v>47</v>
      </c>
      <c r="B50" s="73" t="s">
        <v>225</v>
      </c>
      <c r="C50" s="73"/>
      <c r="D50" s="73"/>
      <c r="E50" s="73">
        <v>561</v>
      </c>
      <c r="F50" s="73"/>
      <c r="G50" s="2">
        <v>41</v>
      </c>
      <c r="H50" s="2">
        <v>520</v>
      </c>
      <c r="I50" s="2">
        <v>0</v>
      </c>
      <c r="J50" s="2">
        <v>100</v>
      </c>
    </row>
    <row r="51" spans="1:10">
      <c r="A51" s="12">
        <v>48</v>
      </c>
      <c r="B51" s="73" t="s">
        <v>226</v>
      </c>
      <c r="C51" s="73"/>
      <c r="D51" s="73"/>
      <c r="E51" s="73">
        <v>599</v>
      </c>
      <c r="F51" s="73"/>
      <c r="G51" s="2">
        <v>22</v>
      </c>
      <c r="H51" s="2">
        <v>575</v>
      </c>
      <c r="I51" s="2">
        <v>2</v>
      </c>
      <c r="J51" s="2">
        <v>99.65</v>
      </c>
    </row>
    <row r="52" spans="1:10">
      <c r="A52" s="12">
        <v>49</v>
      </c>
      <c r="B52" s="73" t="s">
        <v>227</v>
      </c>
      <c r="C52" s="73"/>
      <c r="D52" s="73"/>
      <c r="E52" s="73">
        <v>666</v>
      </c>
      <c r="F52" s="73"/>
      <c r="G52" s="2">
        <v>37</v>
      </c>
      <c r="H52" s="2">
        <v>629</v>
      </c>
      <c r="I52" s="2">
        <v>0</v>
      </c>
      <c r="J52" s="2">
        <v>100</v>
      </c>
    </row>
    <row r="53" spans="1:10">
      <c r="A53" s="12">
        <v>50</v>
      </c>
      <c r="B53" s="73" t="s">
        <v>228</v>
      </c>
      <c r="C53" s="73"/>
      <c r="D53" s="73"/>
      <c r="E53" s="73">
        <v>655</v>
      </c>
      <c r="F53" s="73"/>
      <c r="G53" s="2">
        <v>31</v>
      </c>
      <c r="H53" s="2">
        <v>624</v>
      </c>
      <c r="I53" s="2">
        <v>0</v>
      </c>
      <c r="J53" s="2">
        <v>100</v>
      </c>
    </row>
    <row r="54" spans="1:10">
      <c r="A54" s="12">
        <v>51</v>
      </c>
      <c r="B54" s="73" t="s">
        <v>229</v>
      </c>
      <c r="C54" s="73"/>
      <c r="D54" s="73"/>
      <c r="E54" s="73">
        <v>683</v>
      </c>
      <c r="F54" s="73"/>
      <c r="G54" s="2">
        <v>31</v>
      </c>
      <c r="H54" s="2">
        <v>648</v>
      </c>
      <c r="I54" s="2">
        <v>4</v>
      </c>
      <c r="J54" s="2">
        <v>99.39</v>
      </c>
    </row>
    <row r="55" spans="1:10">
      <c r="A55" s="12">
        <v>52</v>
      </c>
      <c r="B55" s="73" t="s">
        <v>230</v>
      </c>
      <c r="C55" s="73"/>
      <c r="D55" s="73"/>
      <c r="E55" s="73">
        <v>483</v>
      </c>
      <c r="F55" s="73"/>
      <c r="G55" s="2">
        <v>29</v>
      </c>
      <c r="H55" s="2">
        <v>454</v>
      </c>
      <c r="I55" s="2">
        <v>0</v>
      </c>
      <c r="J55" s="2">
        <v>100</v>
      </c>
    </row>
    <row r="56" spans="1:10">
      <c r="A56" s="12">
        <v>53</v>
      </c>
      <c r="B56" s="73" t="s">
        <v>231</v>
      </c>
      <c r="C56" s="73"/>
      <c r="D56" s="73"/>
      <c r="E56" s="73">
        <v>636</v>
      </c>
      <c r="F56" s="73"/>
      <c r="G56" s="2">
        <v>45</v>
      </c>
      <c r="H56" s="2">
        <v>591</v>
      </c>
      <c r="I56" s="2">
        <v>0</v>
      </c>
      <c r="J56" s="2">
        <v>100</v>
      </c>
    </row>
    <row r="57" spans="1:10">
      <c r="A57" s="12">
        <v>54</v>
      </c>
      <c r="B57" s="73" t="s">
        <v>232</v>
      </c>
      <c r="C57" s="73"/>
      <c r="D57" s="73"/>
      <c r="E57" s="73">
        <v>691</v>
      </c>
      <c r="F57" s="73"/>
      <c r="G57" s="2">
        <v>29</v>
      </c>
      <c r="H57" s="2">
        <v>659</v>
      </c>
      <c r="I57" s="2">
        <v>3</v>
      </c>
      <c r="J57" s="2">
        <v>99.55</v>
      </c>
    </row>
    <row r="58" spans="1:10">
      <c r="A58" s="12">
        <v>55</v>
      </c>
      <c r="B58" s="73" t="s">
        <v>233</v>
      </c>
      <c r="C58" s="73"/>
      <c r="D58" s="73"/>
      <c r="E58" s="73">
        <v>762</v>
      </c>
      <c r="F58" s="73"/>
      <c r="G58" s="2">
        <v>22</v>
      </c>
      <c r="H58" s="2">
        <v>718</v>
      </c>
      <c r="I58" s="2">
        <v>22</v>
      </c>
      <c r="J58" s="2">
        <v>97.03</v>
      </c>
    </row>
    <row r="59" spans="1:10">
      <c r="A59" s="12">
        <v>56</v>
      </c>
      <c r="B59" s="73" t="s">
        <v>234</v>
      </c>
      <c r="C59" s="73"/>
      <c r="D59" s="73"/>
      <c r="E59" s="73">
        <v>508</v>
      </c>
      <c r="F59" s="73"/>
      <c r="G59" s="2">
        <v>28</v>
      </c>
      <c r="H59" s="2">
        <v>480</v>
      </c>
      <c r="I59" s="2">
        <v>0</v>
      </c>
      <c r="J59" s="2">
        <v>100</v>
      </c>
    </row>
    <row r="60" spans="1:10">
      <c r="A60" s="12">
        <v>57</v>
      </c>
      <c r="B60" s="73" t="s">
        <v>235</v>
      </c>
      <c r="C60" s="73"/>
      <c r="D60" s="73"/>
      <c r="E60" s="73">
        <v>549</v>
      </c>
      <c r="F60" s="73"/>
      <c r="G60" s="2">
        <v>29</v>
      </c>
      <c r="H60" s="2">
        <v>516</v>
      </c>
      <c r="I60" s="2">
        <v>4</v>
      </c>
      <c r="J60" s="2">
        <v>99.23</v>
      </c>
    </row>
    <row r="61" spans="1:10">
      <c r="A61" s="12">
        <v>58</v>
      </c>
      <c r="B61" s="73" t="s">
        <v>236</v>
      </c>
      <c r="C61" s="73"/>
      <c r="D61" s="73"/>
      <c r="E61" s="73">
        <v>402</v>
      </c>
      <c r="F61" s="73"/>
      <c r="G61" s="2">
        <v>34</v>
      </c>
      <c r="H61" s="2">
        <v>368</v>
      </c>
      <c r="I61" s="2">
        <v>0</v>
      </c>
      <c r="J61" s="2">
        <v>100</v>
      </c>
    </row>
    <row r="62" spans="1:10">
      <c r="A62" s="12">
        <v>59</v>
      </c>
      <c r="B62" s="73" t="s">
        <v>237</v>
      </c>
      <c r="C62" s="73"/>
      <c r="D62" s="73"/>
      <c r="E62" s="73">
        <v>537</v>
      </c>
      <c r="F62" s="73"/>
      <c r="G62" s="2">
        <v>40</v>
      </c>
      <c r="H62" s="2">
        <v>497</v>
      </c>
      <c r="I62" s="2">
        <v>0</v>
      </c>
      <c r="J62" s="2">
        <v>100</v>
      </c>
    </row>
    <row r="63" spans="1:10">
      <c r="A63" s="12">
        <v>60</v>
      </c>
      <c r="B63" s="73" t="s">
        <v>238</v>
      </c>
      <c r="C63" s="73"/>
      <c r="D63" s="73"/>
      <c r="E63" s="73">
        <v>494</v>
      </c>
      <c r="F63" s="73"/>
      <c r="G63" s="2">
        <v>15</v>
      </c>
      <c r="H63" s="2">
        <v>479</v>
      </c>
      <c r="I63" s="2">
        <v>0</v>
      </c>
      <c r="J63" s="2">
        <v>100</v>
      </c>
    </row>
    <row r="64" spans="1:10">
      <c r="A64" s="12">
        <v>61</v>
      </c>
      <c r="B64" s="73" t="s">
        <v>239</v>
      </c>
      <c r="C64" s="73"/>
      <c r="D64" s="73"/>
      <c r="E64" s="73">
        <v>546</v>
      </c>
      <c r="F64" s="73"/>
      <c r="G64" s="2">
        <v>43</v>
      </c>
      <c r="H64" s="2">
        <v>503</v>
      </c>
      <c r="I64" s="2">
        <v>0</v>
      </c>
      <c r="J64" s="2">
        <v>100</v>
      </c>
    </row>
    <row r="65" spans="1:10">
      <c r="A65" s="12">
        <v>62</v>
      </c>
      <c r="B65" s="73" t="s">
        <v>240</v>
      </c>
      <c r="C65" s="73"/>
      <c r="D65" s="73"/>
      <c r="E65" s="73">
        <v>423</v>
      </c>
      <c r="F65" s="73"/>
      <c r="G65" s="2">
        <v>30</v>
      </c>
      <c r="H65" s="2">
        <v>392</v>
      </c>
      <c r="I65" s="2">
        <v>1</v>
      </c>
      <c r="J65" s="2">
        <v>99.75</v>
      </c>
    </row>
    <row r="66" spans="1:10">
      <c r="A66" s="12">
        <v>63</v>
      </c>
      <c r="B66" s="73" t="s">
        <v>241</v>
      </c>
      <c r="C66" s="73"/>
      <c r="D66" s="73"/>
      <c r="E66" s="73">
        <v>678</v>
      </c>
      <c r="F66" s="73"/>
      <c r="G66" s="2">
        <v>22</v>
      </c>
      <c r="H66" s="2">
        <v>647</v>
      </c>
      <c r="I66" s="2">
        <v>9</v>
      </c>
      <c r="J66" s="2">
        <v>98.63</v>
      </c>
    </row>
    <row r="67" spans="1:10">
      <c r="A67" s="12">
        <v>64</v>
      </c>
      <c r="B67" s="73" t="s">
        <v>242</v>
      </c>
      <c r="C67" s="73"/>
      <c r="D67" s="73"/>
      <c r="E67" s="73">
        <v>572</v>
      </c>
      <c r="F67" s="73"/>
      <c r="G67" s="2">
        <v>25</v>
      </c>
      <c r="H67" s="2">
        <v>547</v>
      </c>
      <c r="I67" s="2">
        <v>0</v>
      </c>
      <c r="J67" s="2">
        <v>100</v>
      </c>
    </row>
    <row r="68" spans="1:10">
      <c r="A68" s="12">
        <v>65</v>
      </c>
      <c r="B68" s="73" t="s">
        <v>243</v>
      </c>
      <c r="C68" s="73"/>
      <c r="D68" s="73"/>
      <c r="E68" s="73">
        <v>431</v>
      </c>
      <c r="F68" s="73"/>
      <c r="G68" s="2" t="s">
        <v>64</v>
      </c>
      <c r="H68" s="2">
        <v>430</v>
      </c>
      <c r="I68" s="2">
        <v>1</v>
      </c>
      <c r="J68" s="2">
        <v>99.77</v>
      </c>
    </row>
    <row r="69" spans="1:10">
      <c r="A69" s="12">
        <v>66</v>
      </c>
      <c r="B69" s="73" t="s">
        <v>244</v>
      </c>
      <c r="C69" s="73"/>
      <c r="D69" s="73"/>
      <c r="E69" s="73">
        <v>487</v>
      </c>
      <c r="F69" s="73"/>
      <c r="G69" s="2">
        <v>28</v>
      </c>
      <c r="H69" s="2">
        <v>459</v>
      </c>
      <c r="I69" s="2">
        <v>0</v>
      </c>
      <c r="J69" s="2">
        <v>100</v>
      </c>
    </row>
    <row r="70" spans="1:10">
      <c r="A70" s="12">
        <v>67</v>
      </c>
      <c r="B70" s="73" t="s">
        <v>245</v>
      </c>
      <c r="C70" s="73"/>
      <c r="D70" s="73"/>
      <c r="E70" s="73">
        <v>538</v>
      </c>
      <c r="F70" s="73"/>
      <c r="G70" s="2">
        <v>12</v>
      </c>
      <c r="H70" s="2">
        <v>526</v>
      </c>
      <c r="I70" s="2">
        <v>0</v>
      </c>
      <c r="J70" s="2">
        <v>100</v>
      </c>
    </row>
    <row r="71" spans="1:10">
      <c r="A71" s="12">
        <v>68</v>
      </c>
      <c r="B71" s="73" t="s">
        <v>246</v>
      </c>
      <c r="C71" s="73"/>
      <c r="D71" s="73"/>
      <c r="E71" s="73">
        <v>553</v>
      </c>
      <c r="F71" s="73"/>
      <c r="G71" s="2">
        <v>29</v>
      </c>
      <c r="H71" s="2">
        <v>524</v>
      </c>
      <c r="I71" s="2">
        <v>0</v>
      </c>
      <c r="J71" s="2">
        <v>100</v>
      </c>
    </row>
    <row r="72" spans="1:10">
      <c r="A72" s="12">
        <v>69</v>
      </c>
      <c r="B72" s="73" t="s">
        <v>247</v>
      </c>
      <c r="C72" s="73"/>
      <c r="D72" s="73"/>
      <c r="E72" s="73">
        <v>506</v>
      </c>
      <c r="F72" s="73"/>
      <c r="G72" s="2">
        <v>16</v>
      </c>
      <c r="H72" s="2">
        <v>488</v>
      </c>
      <c r="I72" s="2">
        <v>2</v>
      </c>
      <c r="J72" s="2">
        <v>99.59</v>
      </c>
    </row>
    <row r="73" spans="1:10">
      <c r="A73" s="12">
        <v>70</v>
      </c>
      <c r="B73" s="73" t="s">
        <v>248</v>
      </c>
      <c r="C73" s="73"/>
      <c r="D73" s="73"/>
      <c r="E73" s="73">
        <v>499</v>
      </c>
      <c r="F73" s="73"/>
      <c r="G73" s="2">
        <v>42</v>
      </c>
      <c r="H73" s="2">
        <v>457</v>
      </c>
      <c r="I73" s="2">
        <v>0</v>
      </c>
      <c r="J73" s="2">
        <v>100</v>
      </c>
    </row>
    <row r="74" spans="1:10">
      <c r="A74" s="12">
        <v>71</v>
      </c>
      <c r="B74" s="73" t="s">
        <v>249</v>
      </c>
      <c r="C74" s="73"/>
      <c r="D74" s="73"/>
      <c r="E74" s="73">
        <v>533</v>
      </c>
      <c r="F74" s="73"/>
      <c r="G74" s="2">
        <v>29</v>
      </c>
      <c r="H74" s="2">
        <v>502</v>
      </c>
      <c r="I74" s="2">
        <v>2</v>
      </c>
      <c r="J74" s="2">
        <v>99.6</v>
      </c>
    </row>
    <row r="75" spans="1:10">
      <c r="A75" s="12">
        <v>72</v>
      </c>
      <c r="B75" s="73" t="s">
        <v>250</v>
      </c>
      <c r="C75" s="73"/>
      <c r="D75" s="73"/>
      <c r="E75" s="73">
        <v>472</v>
      </c>
      <c r="F75" s="73"/>
      <c r="G75" s="2">
        <v>42</v>
      </c>
      <c r="H75" s="2">
        <v>428</v>
      </c>
      <c r="I75" s="2">
        <v>2</v>
      </c>
      <c r="J75" s="2">
        <v>99.53</v>
      </c>
    </row>
    <row r="76" spans="1:10">
      <c r="A76" s="12">
        <v>73</v>
      </c>
      <c r="B76" s="73" t="s">
        <v>251</v>
      </c>
      <c r="C76" s="73"/>
      <c r="D76" s="73"/>
      <c r="E76" s="73">
        <v>563</v>
      </c>
      <c r="F76" s="73"/>
      <c r="G76" s="2">
        <v>19</v>
      </c>
      <c r="H76" s="2">
        <v>543</v>
      </c>
      <c r="I76" s="2">
        <v>1</v>
      </c>
      <c r="J76" s="2">
        <v>99.82</v>
      </c>
    </row>
    <row r="77" spans="1:10">
      <c r="A77" s="12">
        <v>74</v>
      </c>
      <c r="B77" s="73" t="s">
        <v>252</v>
      </c>
      <c r="C77" s="73"/>
      <c r="D77" s="73"/>
      <c r="E77" s="73">
        <v>558</v>
      </c>
      <c r="F77" s="73"/>
      <c r="G77" s="2">
        <v>34</v>
      </c>
      <c r="H77" s="2">
        <v>524</v>
      </c>
      <c r="I77" s="2">
        <v>0</v>
      </c>
      <c r="J77" s="2">
        <v>100</v>
      </c>
    </row>
    <row r="78" spans="1:10">
      <c r="A78" s="12">
        <v>75</v>
      </c>
      <c r="B78" s="73" t="s">
        <v>253</v>
      </c>
      <c r="C78" s="73"/>
      <c r="D78" s="73"/>
      <c r="E78" s="73">
        <v>600</v>
      </c>
      <c r="F78" s="73"/>
      <c r="G78" s="2">
        <v>24</v>
      </c>
      <c r="H78" s="2">
        <v>565</v>
      </c>
      <c r="I78" s="2">
        <v>11</v>
      </c>
      <c r="J78" s="2">
        <v>98.09</v>
      </c>
    </row>
    <row r="79" spans="1:10">
      <c r="A79" s="12">
        <v>76</v>
      </c>
      <c r="B79" s="73" t="s">
        <v>254</v>
      </c>
      <c r="C79" s="73"/>
      <c r="D79" s="73"/>
      <c r="E79" s="73">
        <v>461</v>
      </c>
      <c r="F79" s="73"/>
      <c r="G79" s="2">
        <v>36</v>
      </c>
      <c r="H79" s="2">
        <v>425</v>
      </c>
      <c r="I79" s="2">
        <v>0</v>
      </c>
      <c r="J79" s="2">
        <v>100</v>
      </c>
    </row>
    <row r="80" spans="1:10">
      <c r="A80" s="12">
        <v>77</v>
      </c>
      <c r="B80" s="73" t="s">
        <v>255</v>
      </c>
      <c r="C80" s="73"/>
      <c r="D80" s="73"/>
      <c r="E80" s="73">
        <v>638</v>
      </c>
      <c r="F80" s="73"/>
      <c r="G80" s="2">
        <v>19</v>
      </c>
      <c r="H80" s="2">
        <v>614</v>
      </c>
      <c r="I80" s="2">
        <v>5</v>
      </c>
      <c r="J80" s="2">
        <v>99.19</v>
      </c>
    </row>
    <row r="81" spans="1:10">
      <c r="A81" s="12">
        <v>78</v>
      </c>
      <c r="B81" s="73" t="s">
        <v>256</v>
      </c>
      <c r="C81" s="73"/>
      <c r="D81" s="73"/>
      <c r="E81" s="73">
        <v>606</v>
      </c>
      <c r="F81" s="73"/>
      <c r="G81" s="2">
        <v>25</v>
      </c>
      <c r="H81" s="2">
        <v>579</v>
      </c>
      <c r="I81" s="2">
        <v>2</v>
      </c>
      <c r="J81" s="2">
        <v>99.66</v>
      </c>
    </row>
    <row r="82" spans="1:10">
      <c r="A82" s="12">
        <v>79</v>
      </c>
      <c r="B82" s="73" t="s">
        <v>257</v>
      </c>
      <c r="C82" s="73"/>
      <c r="D82" s="73"/>
      <c r="E82" s="73">
        <v>566</v>
      </c>
      <c r="F82" s="73"/>
      <c r="G82" s="2">
        <v>26</v>
      </c>
      <c r="H82" s="2">
        <v>539</v>
      </c>
      <c r="I82" s="2">
        <v>1</v>
      </c>
      <c r="J82" s="2">
        <v>99.81</v>
      </c>
    </row>
    <row r="83" spans="1:10">
      <c r="A83" s="12">
        <v>80</v>
      </c>
      <c r="B83" s="73" t="s">
        <v>258</v>
      </c>
      <c r="C83" s="73"/>
      <c r="D83" s="73"/>
      <c r="E83" s="73">
        <v>559</v>
      </c>
      <c r="F83" s="73"/>
      <c r="G83" s="2">
        <v>28</v>
      </c>
      <c r="H83" s="2">
        <v>531</v>
      </c>
      <c r="I83" s="2">
        <v>0</v>
      </c>
      <c r="J83" s="2">
        <v>100</v>
      </c>
    </row>
    <row r="84" spans="1:10">
      <c r="A84" s="12">
        <v>81</v>
      </c>
      <c r="B84" s="73" t="s">
        <v>259</v>
      </c>
      <c r="C84" s="73"/>
      <c r="D84" s="73"/>
      <c r="E84" s="73">
        <v>476</v>
      </c>
      <c r="F84" s="73"/>
      <c r="G84" s="2">
        <v>27</v>
      </c>
      <c r="H84" s="2">
        <v>448</v>
      </c>
      <c r="I84" s="2">
        <v>1</v>
      </c>
      <c r="J84" s="2">
        <v>99.78</v>
      </c>
    </row>
    <row r="85" spans="1:10">
      <c r="A85" s="12">
        <v>82</v>
      </c>
      <c r="B85" s="73" t="s">
        <v>260</v>
      </c>
      <c r="C85" s="73"/>
      <c r="D85" s="73"/>
      <c r="E85" s="73">
        <v>543</v>
      </c>
      <c r="F85" s="73"/>
      <c r="G85" s="2">
        <v>32</v>
      </c>
      <c r="H85" s="2">
        <v>509</v>
      </c>
      <c r="I85" s="2">
        <v>2</v>
      </c>
      <c r="J85" s="2">
        <v>99.61</v>
      </c>
    </row>
    <row r="86" spans="1:10">
      <c r="A86" s="12">
        <v>83</v>
      </c>
      <c r="B86" s="73" t="s">
        <v>261</v>
      </c>
      <c r="C86" s="73"/>
      <c r="D86" s="73"/>
      <c r="E86" s="73">
        <v>550</v>
      </c>
      <c r="F86" s="73"/>
      <c r="G86" s="2">
        <v>38</v>
      </c>
      <c r="H86" s="2">
        <v>512</v>
      </c>
      <c r="I86" s="2">
        <v>0</v>
      </c>
      <c r="J86" s="2">
        <v>100</v>
      </c>
    </row>
    <row r="87" spans="1:10">
      <c r="A87" s="12">
        <v>84</v>
      </c>
      <c r="B87" s="73" t="s">
        <v>262</v>
      </c>
      <c r="C87" s="73"/>
      <c r="D87" s="73"/>
      <c r="E87" s="73">
        <v>549</v>
      </c>
      <c r="F87" s="73"/>
      <c r="G87" s="2">
        <v>21</v>
      </c>
      <c r="H87" s="2">
        <v>528</v>
      </c>
      <c r="I87" s="2">
        <v>0</v>
      </c>
      <c r="J87" s="2">
        <v>100</v>
      </c>
    </row>
    <row r="88" spans="1:10">
      <c r="A88" s="12">
        <v>85</v>
      </c>
      <c r="B88" s="73" t="s">
        <v>263</v>
      </c>
      <c r="C88" s="73"/>
      <c r="D88" s="73"/>
      <c r="E88" s="73">
        <v>582</v>
      </c>
      <c r="F88" s="73"/>
      <c r="G88" s="2">
        <v>29</v>
      </c>
      <c r="H88" s="2">
        <v>551</v>
      </c>
      <c r="I88" s="2">
        <v>2</v>
      </c>
      <c r="J88" s="2">
        <v>99.64</v>
      </c>
    </row>
    <row r="89" spans="1:10">
      <c r="A89" s="12">
        <v>86</v>
      </c>
      <c r="B89" s="73" t="s">
        <v>264</v>
      </c>
      <c r="C89" s="73"/>
      <c r="D89" s="73"/>
      <c r="E89" s="73">
        <v>753</v>
      </c>
      <c r="F89" s="73"/>
      <c r="G89" s="2">
        <v>16</v>
      </c>
      <c r="H89" s="2">
        <v>736</v>
      </c>
      <c r="I89" s="2">
        <v>1</v>
      </c>
      <c r="J89" s="2">
        <v>99.86</v>
      </c>
    </row>
    <row r="90" spans="1:10">
      <c r="A90" s="12">
        <v>87</v>
      </c>
      <c r="B90" s="73" t="s">
        <v>265</v>
      </c>
      <c r="C90" s="73"/>
      <c r="D90" s="73"/>
      <c r="E90" s="73">
        <v>598</v>
      </c>
      <c r="F90" s="73"/>
      <c r="G90" s="2">
        <v>23</v>
      </c>
      <c r="H90" s="2">
        <v>575</v>
      </c>
      <c r="I90" s="2">
        <v>0</v>
      </c>
      <c r="J90" s="2">
        <v>100</v>
      </c>
    </row>
    <row r="91" spans="1:10">
      <c r="A91" s="12">
        <v>88</v>
      </c>
      <c r="B91" s="73" t="s">
        <v>266</v>
      </c>
      <c r="C91" s="73"/>
      <c r="D91" s="73"/>
      <c r="E91" s="73">
        <v>650</v>
      </c>
      <c r="F91" s="73"/>
      <c r="G91" s="2">
        <v>26</v>
      </c>
      <c r="H91" s="2">
        <v>613</v>
      </c>
      <c r="I91" s="2">
        <v>11</v>
      </c>
      <c r="J91" s="2">
        <v>98.24</v>
      </c>
    </row>
    <row r="92" spans="1:10">
      <c r="A92" s="12">
        <v>89</v>
      </c>
      <c r="B92" s="73" t="s">
        <v>267</v>
      </c>
      <c r="C92" s="73"/>
      <c r="D92" s="73"/>
      <c r="E92" s="73">
        <v>487</v>
      </c>
      <c r="F92" s="73"/>
      <c r="G92" s="2" t="s">
        <v>64</v>
      </c>
      <c r="H92" s="2">
        <v>487</v>
      </c>
      <c r="I92" s="2">
        <v>0</v>
      </c>
      <c r="J92" s="2">
        <v>100</v>
      </c>
    </row>
    <row r="93" spans="1:10">
      <c r="A93" s="12">
        <v>90</v>
      </c>
      <c r="B93" s="73" t="s">
        <v>268</v>
      </c>
      <c r="C93" s="73"/>
      <c r="D93" s="73"/>
      <c r="E93" s="73">
        <v>600</v>
      </c>
      <c r="F93" s="73"/>
      <c r="G93" s="2">
        <v>17</v>
      </c>
      <c r="H93" s="2">
        <v>583</v>
      </c>
      <c r="I93" s="2">
        <v>0</v>
      </c>
      <c r="J93" s="2">
        <v>100</v>
      </c>
    </row>
    <row r="94" spans="1:10">
      <c r="A94" s="12">
        <v>91</v>
      </c>
      <c r="B94" s="73" t="s">
        <v>269</v>
      </c>
      <c r="C94" s="73"/>
      <c r="D94" s="73"/>
      <c r="E94" s="73">
        <v>593</v>
      </c>
      <c r="F94" s="73"/>
      <c r="G94" s="2">
        <v>33</v>
      </c>
      <c r="H94" s="2">
        <v>559</v>
      </c>
      <c r="I94" s="2">
        <v>1</v>
      </c>
      <c r="J94" s="2">
        <v>99.82</v>
      </c>
    </row>
    <row r="95" spans="1:10">
      <c r="A95" s="12">
        <v>92</v>
      </c>
      <c r="B95" s="73" t="s">
        <v>270</v>
      </c>
      <c r="C95" s="73"/>
      <c r="D95" s="73"/>
      <c r="E95" s="73">
        <v>580</v>
      </c>
      <c r="F95" s="73"/>
      <c r="G95" s="2">
        <v>26</v>
      </c>
      <c r="H95" s="2">
        <v>553</v>
      </c>
      <c r="I95" s="2">
        <v>1</v>
      </c>
      <c r="J95" s="2">
        <v>99.82</v>
      </c>
    </row>
    <row r="96" spans="1:10">
      <c r="A96" s="12">
        <v>93</v>
      </c>
      <c r="B96" s="73" t="s">
        <v>271</v>
      </c>
      <c r="C96" s="73"/>
      <c r="D96" s="73"/>
      <c r="E96" s="73">
        <v>537</v>
      </c>
      <c r="F96" s="73"/>
      <c r="G96" s="2">
        <v>19</v>
      </c>
      <c r="H96" s="2">
        <v>518</v>
      </c>
      <c r="I96" s="2">
        <v>0</v>
      </c>
      <c r="J96" s="2">
        <v>100</v>
      </c>
    </row>
    <row r="97" spans="1:10">
      <c r="A97" s="12">
        <v>94</v>
      </c>
      <c r="B97" s="73" t="s">
        <v>272</v>
      </c>
      <c r="C97" s="73"/>
      <c r="D97" s="73"/>
      <c r="E97" s="73">
        <v>578</v>
      </c>
      <c r="F97" s="73"/>
      <c r="G97" s="2">
        <v>25</v>
      </c>
      <c r="H97" s="2">
        <v>553</v>
      </c>
      <c r="I97" s="2">
        <v>0</v>
      </c>
      <c r="J97" s="2">
        <v>100</v>
      </c>
    </row>
    <row r="98" spans="1:10">
      <c r="A98" s="12">
        <v>95</v>
      </c>
      <c r="B98" s="73" t="s">
        <v>273</v>
      </c>
      <c r="C98" s="73"/>
      <c r="D98" s="73"/>
      <c r="E98" s="73">
        <v>632</v>
      </c>
      <c r="F98" s="73"/>
      <c r="G98" s="2">
        <v>47</v>
      </c>
      <c r="H98" s="2">
        <v>585</v>
      </c>
      <c r="I98" s="2">
        <v>0</v>
      </c>
      <c r="J98" s="2">
        <v>100</v>
      </c>
    </row>
    <row r="99" spans="1:10">
      <c r="A99" s="12">
        <v>96</v>
      </c>
      <c r="B99" s="73" t="s">
        <v>274</v>
      </c>
      <c r="C99" s="73"/>
      <c r="D99" s="73"/>
      <c r="E99" s="73">
        <v>514</v>
      </c>
      <c r="F99" s="73"/>
      <c r="G99" s="2">
        <v>29</v>
      </c>
      <c r="H99" s="2">
        <v>467</v>
      </c>
      <c r="I99" s="2">
        <v>18</v>
      </c>
      <c r="J99" s="2">
        <v>96.29</v>
      </c>
    </row>
    <row r="100" spans="1:10">
      <c r="A100" s="12">
        <v>97</v>
      </c>
      <c r="B100" s="73" t="s">
        <v>275</v>
      </c>
      <c r="C100" s="73"/>
      <c r="D100" s="73"/>
      <c r="E100" s="73">
        <v>534</v>
      </c>
      <c r="F100" s="73"/>
      <c r="G100" s="2">
        <v>23</v>
      </c>
      <c r="H100" s="2">
        <v>511</v>
      </c>
      <c r="I100" s="2">
        <v>0</v>
      </c>
      <c r="J100" s="2">
        <v>100</v>
      </c>
    </row>
    <row r="101" spans="1:10">
      <c r="A101" s="12">
        <v>98</v>
      </c>
      <c r="B101" s="73" t="s">
        <v>276</v>
      </c>
      <c r="C101" s="73"/>
      <c r="D101" s="73"/>
      <c r="E101" s="73">
        <v>607</v>
      </c>
      <c r="F101" s="73"/>
      <c r="G101" s="2">
        <v>23</v>
      </c>
      <c r="H101" s="2">
        <v>582</v>
      </c>
      <c r="I101" s="2">
        <v>2</v>
      </c>
      <c r="J101" s="2">
        <v>99.66</v>
      </c>
    </row>
    <row r="102" spans="1:10">
      <c r="A102" s="12">
        <v>99</v>
      </c>
      <c r="B102" s="73" t="s">
        <v>277</v>
      </c>
      <c r="C102" s="73"/>
      <c r="D102" s="73"/>
      <c r="E102" s="73">
        <v>533</v>
      </c>
      <c r="F102" s="73"/>
      <c r="G102" s="2">
        <v>40</v>
      </c>
      <c r="H102" s="2">
        <v>491</v>
      </c>
      <c r="I102" s="2">
        <v>2</v>
      </c>
      <c r="J102" s="2">
        <v>99.59</v>
      </c>
    </row>
    <row r="103" spans="1:10">
      <c r="A103" s="12">
        <v>100</v>
      </c>
      <c r="B103" s="73" t="s">
        <v>278</v>
      </c>
      <c r="C103" s="73"/>
      <c r="D103" s="73"/>
      <c r="E103" s="73">
        <v>640</v>
      </c>
      <c r="F103" s="73"/>
      <c r="G103" s="2">
        <v>23</v>
      </c>
      <c r="H103" s="2">
        <v>616</v>
      </c>
      <c r="I103" s="2">
        <v>1</v>
      </c>
      <c r="J103" s="2">
        <v>99.84</v>
      </c>
    </row>
    <row r="104" spans="1:10">
      <c r="A104" s="12">
        <v>101</v>
      </c>
      <c r="B104" s="73" t="s">
        <v>279</v>
      </c>
      <c r="C104" s="73"/>
      <c r="D104" s="73"/>
      <c r="E104" s="73">
        <v>610</v>
      </c>
      <c r="F104" s="73"/>
      <c r="G104" s="2">
        <v>41</v>
      </c>
      <c r="H104" s="2">
        <v>569</v>
      </c>
      <c r="I104" s="2">
        <v>0</v>
      </c>
      <c r="J104" s="2">
        <v>100</v>
      </c>
    </row>
    <row r="105" spans="1:10">
      <c r="A105" s="12">
        <v>102</v>
      </c>
      <c r="B105" s="73" t="s">
        <v>280</v>
      </c>
      <c r="C105" s="73"/>
      <c r="D105" s="73"/>
      <c r="E105" s="73">
        <v>543</v>
      </c>
      <c r="F105" s="73"/>
      <c r="G105" s="2">
        <v>17</v>
      </c>
      <c r="H105" s="2">
        <v>515</v>
      </c>
      <c r="I105" s="2">
        <v>11</v>
      </c>
      <c r="J105" s="2">
        <v>97.91</v>
      </c>
    </row>
    <row r="106" spans="1:10">
      <c r="A106" s="12">
        <v>103</v>
      </c>
      <c r="B106" s="73" t="s">
        <v>281</v>
      </c>
      <c r="C106" s="73"/>
      <c r="D106" s="73"/>
      <c r="E106" s="73">
        <v>467</v>
      </c>
      <c r="F106" s="73"/>
      <c r="G106" s="2">
        <v>25</v>
      </c>
      <c r="H106" s="2">
        <v>440</v>
      </c>
      <c r="I106" s="2">
        <v>2</v>
      </c>
      <c r="J106" s="2">
        <v>99.55</v>
      </c>
    </row>
    <row r="107" spans="1:10">
      <c r="A107" s="12">
        <v>104</v>
      </c>
      <c r="B107" s="73" t="s">
        <v>282</v>
      </c>
      <c r="C107" s="73"/>
      <c r="D107" s="73"/>
      <c r="E107" s="73">
        <v>441</v>
      </c>
      <c r="F107" s="73"/>
      <c r="G107" s="2">
        <v>17</v>
      </c>
      <c r="H107" s="2">
        <v>423</v>
      </c>
      <c r="I107" s="2">
        <v>1</v>
      </c>
      <c r="J107" s="2">
        <v>99.76</v>
      </c>
    </row>
    <row r="108" spans="1:10">
      <c r="A108" s="12">
        <v>105</v>
      </c>
      <c r="B108" s="73" t="s">
        <v>283</v>
      </c>
      <c r="C108" s="73"/>
      <c r="D108" s="73"/>
      <c r="E108" s="73">
        <v>734</v>
      </c>
      <c r="F108" s="73"/>
      <c r="G108" s="2">
        <v>41</v>
      </c>
      <c r="H108" s="2">
        <v>693</v>
      </c>
      <c r="I108" s="2">
        <v>0</v>
      </c>
      <c r="J108" s="2">
        <v>100</v>
      </c>
    </row>
    <row r="109" spans="1:10">
      <c r="A109" s="12">
        <v>106</v>
      </c>
      <c r="B109" s="73" t="s">
        <v>284</v>
      </c>
      <c r="C109" s="73"/>
      <c r="D109" s="73"/>
      <c r="E109" s="73">
        <v>581</v>
      </c>
      <c r="F109" s="73"/>
      <c r="G109" s="2">
        <v>25</v>
      </c>
      <c r="H109" s="2">
        <v>550</v>
      </c>
      <c r="I109" s="2">
        <v>6</v>
      </c>
      <c r="J109" s="2">
        <v>98.92</v>
      </c>
    </row>
    <row r="110" spans="1:10">
      <c r="A110" s="12">
        <v>107</v>
      </c>
      <c r="B110" s="73" t="s">
        <v>285</v>
      </c>
      <c r="C110" s="73"/>
      <c r="D110" s="73"/>
      <c r="E110" s="73">
        <v>581</v>
      </c>
      <c r="F110" s="73"/>
      <c r="G110" s="2">
        <v>50</v>
      </c>
      <c r="H110" s="2">
        <v>531</v>
      </c>
      <c r="I110" s="2">
        <v>0</v>
      </c>
      <c r="J110" s="2">
        <v>100</v>
      </c>
    </row>
    <row r="111" spans="1:10">
      <c r="A111" s="12">
        <v>108</v>
      </c>
      <c r="B111" s="73" t="s">
        <v>286</v>
      </c>
      <c r="C111" s="73"/>
      <c r="D111" s="73"/>
      <c r="E111" s="73">
        <v>563</v>
      </c>
      <c r="F111" s="73"/>
      <c r="G111" s="2">
        <v>27</v>
      </c>
      <c r="H111" s="2">
        <v>536</v>
      </c>
      <c r="I111" s="2">
        <v>0</v>
      </c>
      <c r="J111" s="2">
        <v>100</v>
      </c>
    </row>
    <row r="112" spans="1:10">
      <c r="A112" s="12">
        <v>109</v>
      </c>
      <c r="B112" s="73" t="s">
        <v>287</v>
      </c>
      <c r="C112" s="73"/>
      <c r="D112" s="73"/>
      <c r="E112" s="73">
        <v>565</v>
      </c>
      <c r="F112" s="73"/>
      <c r="G112" s="2">
        <v>18</v>
      </c>
      <c r="H112" s="2">
        <v>541</v>
      </c>
      <c r="I112" s="2">
        <v>6</v>
      </c>
      <c r="J112" s="2">
        <v>98.9</v>
      </c>
    </row>
    <row r="113" spans="1:10">
      <c r="A113" s="12">
        <v>110</v>
      </c>
      <c r="B113" s="73" t="s">
        <v>288</v>
      </c>
      <c r="C113" s="73"/>
      <c r="D113" s="73"/>
      <c r="E113" s="73">
        <v>475</v>
      </c>
      <c r="F113" s="73"/>
      <c r="G113" s="2">
        <v>27</v>
      </c>
      <c r="H113" s="2">
        <v>448</v>
      </c>
      <c r="I113" s="2">
        <v>0</v>
      </c>
      <c r="J113" s="2">
        <v>100</v>
      </c>
    </row>
    <row r="114" spans="1:10">
      <c r="A114" s="12">
        <v>111</v>
      </c>
      <c r="B114" s="73" t="s">
        <v>289</v>
      </c>
      <c r="C114" s="73"/>
      <c r="D114" s="73"/>
      <c r="E114" s="73">
        <v>718</v>
      </c>
      <c r="F114" s="73"/>
      <c r="G114" s="2">
        <v>24</v>
      </c>
      <c r="H114" s="2">
        <v>694</v>
      </c>
      <c r="I114" s="2">
        <v>0</v>
      </c>
      <c r="J114" s="2">
        <v>100</v>
      </c>
    </row>
    <row r="115" spans="1:10">
      <c r="A115" s="12">
        <v>112</v>
      </c>
      <c r="B115" s="73" t="s">
        <v>290</v>
      </c>
      <c r="C115" s="73"/>
      <c r="D115" s="73"/>
      <c r="E115" s="73">
        <v>656</v>
      </c>
      <c r="F115" s="73"/>
      <c r="G115" s="2" t="s">
        <v>64</v>
      </c>
      <c r="H115" s="2">
        <v>654</v>
      </c>
      <c r="I115" s="2">
        <v>2</v>
      </c>
      <c r="J115" s="2">
        <v>99.7</v>
      </c>
    </row>
    <row r="116" spans="1:10">
      <c r="A116" s="12">
        <v>113</v>
      </c>
      <c r="B116" s="73" t="s">
        <v>291</v>
      </c>
      <c r="C116" s="73"/>
      <c r="D116" s="73"/>
      <c r="E116" s="73">
        <v>796</v>
      </c>
      <c r="F116" s="73"/>
      <c r="G116" s="2">
        <v>29</v>
      </c>
      <c r="H116" s="2">
        <v>766</v>
      </c>
      <c r="I116" s="2">
        <v>1</v>
      </c>
      <c r="J116" s="2">
        <v>99.87</v>
      </c>
    </row>
    <row r="117" spans="1:10">
      <c r="A117" s="12">
        <v>114</v>
      </c>
      <c r="B117" s="73" t="s">
        <v>292</v>
      </c>
      <c r="C117" s="73"/>
      <c r="D117" s="73"/>
      <c r="E117" s="73">
        <v>416</v>
      </c>
      <c r="F117" s="73"/>
      <c r="G117" s="2">
        <v>30</v>
      </c>
      <c r="H117" s="2">
        <v>382</v>
      </c>
      <c r="I117" s="2">
        <v>4</v>
      </c>
      <c r="J117" s="2">
        <v>98.96</v>
      </c>
    </row>
    <row r="118" spans="1:10">
      <c r="A118" s="12">
        <v>115</v>
      </c>
      <c r="B118" s="73" t="s">
        <v>293</v>
      </c>
      <c r="C118" s="73"/>
      <c r="D118" s="73"/>
      <c r="E118" s="73">
        <v>618</v>
      </c>
      <c r="F118" s="73"/>
      <c r="G118" s="2">
        <v>24</v>
      </c>
      <c r="H118" s="2">
        <v>594</v>
      </c>
      <c r="I118" s="2">
        <v>0</v>
      </c>
      <c r="J118" s="2">
        <v>100</v>
      </c>
    </row>
    <row r="119" spans="1:10">
      <c r="A119" s="12">
        <v>116</v>
      </c>
      <c r="B119" s="73" t="s">
        <v>294</v>
      </c>
      <c r="C119" s="73"/>
      <c r="D119" s="73"/>
      <c r="E119" s="73">
        <v>426</v>
      </c>
      <c r="F119" s="73"/>
      <c r="G119" s="2">
        <v>29</v>
      </c>
      <c r="H119" s="2">
        <v>397</v>
      </c>
      <c r="I119" s="2">
        <v>0</v>
      </c>
      <c r="J119" s="2">
        <v>100</v>
      </c>
    </row>
    <row r="120" spans="1:10">
      <c r="A120" s="12">
        <v>117</v>
      </c>
      <c r="B120" s="73" t="s">
        <v>295</v>
      </c>
      <c r="C120" s="73"/>
      <c r="D120" s="73"/>
      <c r="E120" s="73">
        <v>597</v>
      </c>
      <c r="F120" s="73"/>
      <c r="G120" s="2">
        <v>30</v>
      </c>
      <c r="H120" s="2">
        <v>566</v>
      </c>
      <c r="I120" s="2">
        <v>1</v>
      </c>
      <c r="J120" s="2">
        <v>99.82</v>
      </c>
    </row>
    <row r="121" spans="1:10">
      <c r="A121" s="12">
        <v>118</v>
      </c>
      <c r="B121" s="73" t="s">
        <v>296</v>
      </c>
      <c r="C121" s="73"/>
      <c r="D121" s="73"/>
      <c r="E121" s="73">
        <v>594</v>
      </c>
      <c r="F121" s="73"/>
      <c r="G121" s="2">
        <v>30</v>
      </c>
      <c r="H121" s="2">
        <v>564</v>
      </c>
      <c r="I121" s="2">
        <v>0</v>
      </c>
      <c r="J121" s="2">
        <v>100</v>
      </c>
    </row>
    <row r="122" spans="1:10">
      <c r="A122" s="12">
        <v>119</v>
      </c>
      <c r="B122" s="73" t="s">
        <v>297</v>
      </c>
      <c r="C122" s="73"/>
      <c r="D122" s="73"/>
      <c r="E122" s="73">
        <v>610</v>
      </c>
      <c r="F122" s="73"/>
      <c r="G122" s="2">
        <v>27</v>
      </c>
      <c r="H122" s="2">
        <v>583</v>
      </c>
      <c r="I122" s="2">
        <v>0</v>
      </c>
      <c r="J122" s="2">
        <v>100</v>
      </c>
    </row>
    <row r="123" spans="1:10">
      <c r="A123" s="12">
        <v>120</v>
      </c>
      <c r="B123" s="73" t="s">
        <v>298</v>
      </c>
      <c r="C123" s="73"/>
      <c r="D123" s="73"/>
      <c r="E123" s="73">
        <v>586</v>
      </c>
      <c r="F123" s="73"/>
      <c r="G123" s="2">
        <v>34</v>
      </c>
      <c r="H123" s="2">
        <v>552</v>
      </c>
      <c r="I123" s="2">
        <v>0</v>
      </c>
      <c r="J123" s="2">
        <v>100</v>
      </c>
    </row>
    <row r="124" spans="1:10" ht="21" thickBot="1">
      <c r="A124" s="13">
        <v>121</v>
      </c>
      <c r="B124" s="78" t="s">
        <v>299</v>
      </c>
      <c r="C124" s="78"/>
      <c r="D124" s="78"/>
      <c r="E124" s="78">
        <v>644</v>
      </c>
      <c r="F124" s="78"/>
      <c r="G124" s="14">
        <v>25</v>
      </c>
      <c r="H124" s="14">
        <v>618</v>
      </c>
      <c r="I124" s="14">
        <v>1</v>
      </c>
      <c r="J124" s="14">
        <v>99.84</v>
      </c>
    </row>
    <row r="125" spans="1:10">
      <c r="A125" s="12"/>
      <c r="B125" s="2"/>
      <c r="C125" s="2"/>
      <c r="D125" s="76"/>
      <c r="E125" s="76"/>
      <c r="F125" s="77" t="s">
        <v>300</v>
      </c>
      <c r="G125" s="77"/>
      <c r="H125" s="77" t="s">
        <v>301</v>
      </c>
      <c r="I125" s="77"/>
      <c r="J125" s="11" t="s">
        <v>178</v>
      </c>
    </row>
    <row r="126" spans="1:10" ht="21" thickBot="1">
      <c r="A126" s="13"/>
      <c r="B126" s="14"/>
      <c r="C126" s="14"/>
      <c r="D126" s="78"/>
      <c r="E126" s="78"/>
      <c r="F126" s="79">
        <v>66126</v>
      </c>
      <c r="G126" s="79"/>
      <c r="H126" s="79">
        <v>65932</v>
      </c>
      <c r="I126" s="79"/>
      <c r="J126" s="15">
        <v>0.99709999999999999</v>
      </c>
    </row>
  </sheetData>
  <mergeCells count="251">
    <mergeCell ref="H125:I125"/>
    <mergeCell ref="D126:E126"/>
    <mergeCell ref="F126:G126"/>
    <mergeCell ref="H126:I126"/>
    <mergeCell ref="B123:D123"/>
    <mergeCell ref="E123:F123"/>
    <mergeCell ref="B124:D124"/>
    <mergeCell ref="E124:F124"/>
    <mergeCell ref="D125:E125"/>
    <mergeCell ref="F125:G125"/>
    <mergeCell ref="B120:D120"/>
    <mergeCell ref="E120:F120"/>
    <mergeCell ref="B121:D121"/>
    <mergeCell ref="E121:F121"/>
    <mergeCell ref="B122:D122"/>
    <mergeCell ref="E122:F122"/>
    <mergeCell ref="B117:D117"/>
    <mergeCell ref="E117:F117"/>
    <mergeCell ref="B118:D118"/>
    <mergeCell ref="E118:F118"/>
    <mergeCell ref="B119:D119"/>
    <mergeCell ref="E119:F119"/>
    <mergeCell ref="B114:D114"/>
    <mergeCell ref="E114:F114"/>
    <mergeCell ref="B115:D115"/>
    <mergeCell ref="E115:F115"/>
    <mergeCell ref="B116:D116"/>
    <mergeCell ref="E116:F116"/>
    <mergeCell ref="B111:D111"/>
    <mergeCell ref="E111:F111"/>
    <mergeCell ref="B112:D112"/>
    <mergeCell ref="E112:F112"/>
    <mergeCell ref="B113:D113"/>
    <mergeCell ref="E113:F113"/>
    <mergeCell ref="B108:D108"/>
    <mergeCell ref="E108:F108"/>
    <mergeCell ref="B109:D109"/>
    <mergeCell ref="E109:F109"/>
    <mergeCell ref="B110:D110"/>
    <mergeCell ref="E110:F110"/>
    <mergeCell ref="B105:D105"/>
    <mergeCell ref="E105:F105"/>
    <mergeCell ref="B106:D106"/>
    <mergeCell ref="E106:F106"/>
    <mergeCell ref="B107:D107"/>
    <mergeCell ref="E107:F107"/>
    <mergeCell ref="B102:D102"/>
    <mergeCell ref="E102:F102"/>
    <mergeCell ref="B103:D103"/>
    <mergeCell ref="E103:F103"/>
    <mergeCell ref="B104:D104"/>
    <mergeCell ref="E104:F104"/>
    <mergeCell ref="B99:D99"/>
    <mergeCell ref="E99:F99"/>
    <mergeCell ref="B100:D100"/>
    <mergeCell ref="E100:F100"/>
    <mergeCell ref="B101:D101"/>
    <mergeCell ref="E101:F101"/>
    <mergeCell ref="B96:D96"/>
    <mergeCell ref="E96:F96"/>
    <mergeCell ref="B97:D97"/>
    <mergeCell ref="E97:F97"/>
    <mergeCell ref="B98:D98"/>
    <mergeCell ref="E98:F98"/>
    <mergeCell ref="B93:D93"/>
    <mergeCell ref="E93:F93"/>
    <mergeCell ref="B94:D94"/>
    <mergeCell ref="E94:F94"/>
    <mergeCell ref="B95:D95"/>
    <mergeCell ref="E95:F95"/>
    <mergeCell ref="B90:D90"/>
    <mergeCell ref="E90:F90"/>
    <mergeCell ref="B91:D91"/>
    <mergeCell ref="E91:F91"/>
    <mergeCell ref="B92:D92"/>
    <mergeCell ref="E92:F92"/>
    <mergeCell ref="B87:D87"/>
    <mergeCell ref="E87:F87"/>
    <mergeCell ref="B88:D88"/>
    <mergeCell ref="E88:F88"/>
    <mergeCell ref="B89:D89"/>
    <mergeCell ref="E89:F89"/>
    <mergeCell ref="B84:D84"/>
    <mergeCell ref="E84:F84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B78:D78"/>
    <mergeCell ref="E78:F78"/>
    <mergeCell ref="B79:D79"/>
    <mergeCell ref="E79:F79"/>
    <mergeCell ref="B80:D80"/>
    <mergeCell ref="E80:F80"/>
    <mergeCell ref="B75:D75"/>
    <mergeCell ref="E75:F75"/>
    <mergeCell ref="B76:D76"/>
    <mergeCell ref="E76:F76"/>
    <mergeCell ref="B77:D77"/>
    <mergeCell ref="E77:F77"/>
    <mergeCell ref="B72:D72"/>
    <mergeCell ref="E72:F72"/>
    <mergeCell ref="B73:D73"/>
    <mergeCell ref="E73:F73"/>
    <mergeCell ref="B74:D74"/>
    <mergeCell ref="E74:F74"/>
    <mergeCell ref="B69:D69"/>
    <mergeCell ref="E69:F69"/>
    <mergeCell ref="B70:D70"/>
    <mergeCell ref="E70:F70"/>
    <mergeCell ref="B71:D71"/>
    <mergeCell ref="E71:F71"/>
    <mergeCell ref="B66:D66"/>
    <mergeCell ref="E66:F66"/>
    <mergeCell ref="B67:D67"/>
    <mergeCell ref="E67:F67"/>
    <mergeCell ref="B68:D68"/>
    <mergeCell ref="E68:F68"/>
    <mergeCell ref="B63:D63"/>
    <mergeCell ref="E63:F63"/>
    <mergeCell ref="B64:D64"/>
    <mergeCell ref="E64:F64"/>
    <mergeCell ref="B65:D65"/>
    <mergeCell ref="E65:F65"/>
    <mergeCell ref="B60:D60"/>
    <mergeCell ref="E60:F60"/>
    <mergeCell ref="B61:D61"/>
    <mergeCell ref="E61:F61"/>
    <mergeCell ref="B62:D62"/>
    <mergeCell ref="E62:F62"/>
    <mergeCell ref="B57:D57"/>
    <mergeCell ref="E57:F57"/>
    <mergeCell ref="B58:D58"/>
    <mergeCell ref="E58:F58"/>
    <mergeCell ref="B59:D59"/>
    <mergeCell ref="E59:F59"/>
    <mergeCell ref="B54:D54"/>
    <mergeCell ref="E54:F54"/>
    <mergeCell ref="B55:D55"/>
    <mergeCell ref="E55:F55"/>
    <mergeCell ref="B56:D56"/>
    <mergeCell ref="E56:F56"/>
    <mergeCell ref="B51:D51"/>
    <mergeCell ref="E51:F51"/>
    <mergeCell ref="B52:D52"/>
    <mergeCell ref="E52:F52"/>
    <mergeCell ref="B53:D53"/>
    <mergeCell ref="E53:F53"/>
    <mergeCell ref="B48:D48"/>
    <mergeCell ref="E48:F48"/>
    <mergeCell ref="B49:D49"/>
    <mergeCell ref="E49:F49"/>
    <mergeCell ref="B50:D50"/>
    <mergeCell ref="E50:F50"/>
    <mergeCell ref="B45:D45"/>
    <mergeCell ref="E45:F45"/>
    <mergeCell ref="B46:D46"/>
    <mergeCell ref="E46:F46"/>
    <mergeCell ref="B47:D47"/>
    <mergeCell ref="E47:F47"/>
    <mergeCell ref="B42:D42"/>
    <mergeCell ref="E42:F42"/>
    <mergeCell ref="B43:D43"/>
    <mergeCell ref="E43:F43"/>
    <mergeCell ref="B44:D44"/>
    <mergeCell ref="E44:F44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B33:D33"/>
    <mergeCell ref="E33:F33"/>
    <mergeCell ref="B34:D34"/>
    <mergeCell ref="E34:F34"/>
    <mergeCell ref="B35:D35"/>
    <mergeCell ref="E35:F35"/>
    <mergeCell ref="B30:D30"/>
    <mergeCell ref="E30:F30"/>
    <mergeCell ref="B31:D31"/>
    <mergeCell ref="E31:F31"/>
    <mergeCell ref="B32:D32"/>
    <mergeCell ref="E32:F32"/>
    <mergeCell ref="B27:D27"/>
    <mergeCell ref="E27:F27"/>
    <mergeCell ref="B28:D28"/>
    <mergeCell ref="E28:F28"/>
    <mergeCell ref="B29:D29"/>
    <mergeCell ref="E29:F29"/>
    <mergeCell ref="B24:D24"/>
    <mergeCell ref="E24:F24"/>
    <mergeCell ref="B25:D25"/>
    <mergeCell ref="E25:F25"/>
    <mergeCell ref="B26:D26"/>
    <mergeCell ref="E26:F26"/>
    <mergeCell ref="B21:D21"/>
    <mergeCell ref="E21:F21"/>
    <mergeCell ref="B22:D22"/>
    <mergeCell ref="E22:F22"/>
    <mergeCell ref="B23:D23"/>
    <mergeCell ref="E23:F23"/>
    <mergeCell ref="B18:D18"/>
    <mergeCell ref="E18:F18"/>
    <mergeCell ref="B19:D19"/>
    <mergeCell ref="E19:F19"/>
    <mergeCell ref="B20:D20"/>
    <mergeCell ref="E20:F20"/>
    <mergeCell ref="B15:D15"/>
    <mergeCell ref="E15:F15"/>
    <mergeCell ref="B16:D16"/>
    <mergeCell ref="E16:F16"/>
    <mergeCell ref="B17:D17"/>
    <mergeCell ref="E17:F17"/>
    <mergeCell ref="B12:D12"/>
    <mergeCell ref="E12:F12"/>
    <mergeCell ref="B13:D13"/>
    <mergeCell ref="E13:F13"/>
    <mergeCell ref="B14:D14"/>
    <mergeCell ref="E14:F14"/>
    <mergeCell ref="B9:D9"/>
    <mergeCell ref="E9:F9"/>
    <mergeCell ref="B10:D10"/>
    <mergeCell ref="E10:F10"/>
    <mergeCell ref="B11:D11"/>
    <mergeCell ref="E11:F11"/>
    <mergeCell ref="A1:J2"/>
    <mergeCell ref="B6:D6"/>
    <mergeCell ref="E6:F6"/>
    <mergeCell ref="B7:D7"/>
    <mergeCell ref="E7:F7"/>
    <mergeCell ref="B8:D8"/>
    <mergeCell ref="E8:F8"/>
    <mergeCell ref="B3:D3"/>
    <mergeCell ref="E3:F3"/>
    <mergeCell ref="B4:D4"/>
    <mergeCell ref="E4:F4"/>
    <mergeCell ref="B5:D5"/>
    <mergeCell ref="E5:F5"/>
  </mergeCells>
  <phoneticPr fontId="1"/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5557D-5D47-EC46-8D47-04CF0968E603}">
  <dimension ref="A1:T109"/>
  <sheetViews>
    <sheetView zoomScale="92" zoomScaleNormal="78" workbookViewId="0">
      <selection activeCell="O11" sqref="O11"/>
    </sheetView>
  </sheetViews>
  <sheetFormatPr baseColWidth="10" defaultRowHeight="20"/>
  <cols>
    <col min="1" max="1" width="11.85546875" bestFit="1" customWidth="1"/>
    <col min="2" max="2" width="15.85546875" bestFit="1" customWidth="1"/>
    <col min="3" max="7" width="18.7109375" customWidth="1"/>
    <col min="8" max="8" width="10.5703125" customWidth="1"/>
    <col min="9" max="13" width="18.7109375" customWidth="1"/>
  </cols>
  <sheetData>
    <row r="1" spans="1:14">
      <c r="A1" s="81" t="s">
        <v>627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>
      <c r="A3" s="20"/>
      <c r="B3" s="20"/>
      <c r="C3" s="80" t="s">
        <v>622</v>
      </c>
      <c r="D3" s="80"/>
      <c r="E3" s="80"/>
      <c r="F3" s="80"/>
      <c r="G3" s="80"/>
      <c r="I3" s="80" t="s">
        <v>621</v>
      </c>
      <c r="J3" s="80"/>
      <c r="K3" s="80"/>
      <c r="L3" s="80"/>
      <c r="M3" s="80"/>
    </row>
    <row r="4" spans="1:14">
      <c r="A4" s="61" t="s">
        <v>537</v>
      </c>
      <c r="B4" s="61" t="s">
        <v>538</v>
      </c>
      <c r="C4" s="61" t="s">
        <v>516</v>
      </c>
      <c r="D4" s="61" t="s">
        <v>515</v>
      </c>
      <c r="E4" s="61" t="s">
        <v>514</v>
      </c>
      <c r="F4" s="61" t="s">
        <v>513</v>
      </c>
      <c r="G4" s="61" t="s">
        <v>512</v>
      </c>
      <c r="I4" s="62" t="s">
        <v>616</v>
      </c>
      <c r="J4" s="62" t="s">
        <v>617</v>
      </c>
      <c r="K4" s="62" t="s">
        <v>618</v>
      </c>
      <c r="L4" s="62" t="s">
        <v>619</v>
      </c>
      <c r="M4" s="62" t="s">
        <v>620</v>
      </c>
      <c r="N4" s="57"/>
    </row>
    <row r="5" spans="1:14">
      <c r="A5" s="51">
        <v>1</v>
      </c>
      <c r="B5" s="27" t="s">
        <v>529</v>
      </c>
      <c r="C5" s="50">
        <v>12.78</v>
      </c>
      <c r="D5" s="47">
        <v>26.81</v>
      </c>
      <c r="E5" s="47">
        <v>66.78</v>
      </c>
      <c r="F5" s="47">
        <v>178.53</v>
      </c>
      <c r="G5" s="47">
        <v>168.31</v>
      </c>
      <c r="I5" s="49">
        <v>66.78</v>
      </c>
      <c r="J5" s="49">
        <v>177.82</v>
      </c>
      <c r="K5" s="50">
        <v>304.42</v>
      </c>
      <c r="L5" s="50">
        <v>482.54</v>
      </c>
      <c r="M5" s="50">
        <v>530.12</v>
      </c>
      <c r="N5" s="57"/>
    </row>
    <row r="6" spans="1:14">
      <c r="A6" s="51">
        <v>2</v>
      </c>
      <c r="B6" s="27" t="s">
        <v>528</v>
      </c>
      <c r="C6" s="47">
        <v>15.3</v>
      </c>
      <c r="D6" s="47">
        <v>26.43</v>
      </c>
      <c r="E6" s="47">
        <v>62.9</v>
      </c>
      <c r="F6" s="47">
        <v>189.54</v>
      </c>
      <c r="G6" s="47">
        <f>122.13</f>
        <v>122.13</v>
      </c>
      <c r="I6" s="49">
        <v>62.9</v>
      </c>
      <c r="J6" s="50">
        <v>125.48</v>
      </c>
      <c r="K6" s="50">
        <v>206.73</v>
      </c>
      <c r="L6" s="50">
        <v>279.47000000000003</v>
      </c>
      <c r="M6" s="50">
        <v>562.01</v>
      </c>
      <c r="N6" s="57"/>
    </row>
    <row r="7" spans="1:14">
      <c r="A7" s="51">
        <v>3</v>
      </c>
      <c r="B7" s="27" t="s">
        <v>527</v>
      </c>
      <c r="C7" s="54">
        <v>33.869999999999997</v>
      </c>
      <c r="D7" s="47">
        <v>33.090000000000003</v>
      </c>
      <c r="E7" s="47">
        <v>108.3</v>
      </c>
      <c r="F7" s="47">
        <v>130.99</v>
      </c>
      <c r="G7" s="47">
        <v>234.28</v>
      </c>
      <c r="I7" s="49">
        <v>108.3</v>
      </c>
      <c r="J7" s="50">
        <v>124.18</v>
      </c>
      <c r="K7" s="50">
        <v>358.56</v>
      </c>
      <c r="L7" s="50">
        <v>453.64</v>
      </c>
      <c r="M7" s="50">
        <v>456.5</v>
      </c>
      <c r="N7" s="57"/>
    </row>
    <row r="8" spans="1:14">
      <c r="A8" s="51">
        <v>4</v>
      </c>
      <c r="B8" s="27" t="s">
        <v>526</v>
      </c>
      <c r="C8" s="47">
        <v>21.99</v>
      </c>
      <c r="D8" s="47">
        <v>60.74</v>
      </c>
      <c r="E8" s="47">
        <v>148.47999999999999</v>
      </c>
      <c r="F8" s="47">
        <v>92.73</v>
      </c>
      <c r="G8" s="47">
        <v>219.89</v>
      </c>
      <c r="I8" s="49">
        <v>148.47999999999999</v>
      </c>
      <c r="J8" s="50">
        <v>178.09</v>
      </c>
      <c r="K8" s="50">
        <v>394.63</v>
      </c>
      <c r="L8" s="50">
        <v>518.4</v>
      </c>
      <c r="M8" s="50">
        <v>476.25</v>
      </c>
      <c r="N8" s="57"/>
    </row>
    <row r="9" spans="1:14">
      <c r="A9" s="51">
        <v>5</v>
      </c>
      <c r="B9" s="27" t="s">
        <v>525</v>
      </c>
      <c r="C9" s="54">
        <v>15.86</v>
      </c>
      <c r="D9" s="47">
        <v>67.36</v>
      </c>
      <c r="E9" s="47">
        <v>89.71</v>
      </c>
      <c r="F9" s="47">
        <v>107.48</v>
      </c>
      <c r="G9" s="47">
        <v>115.2</v>
      </c>
      <c r="I9" s="49">
        <v>89.71</v>
      </c>
      <c r="J9" s="50">
        <v>172.46</v>
      </c>
      <c r="K9" s="50">
        <v>278.54000000000002</v>
      </c>
      <c r="L9" s="50">
        <v>433.03</v>
      </c>
      <c r="M9" s="50">
        <v>294.64999999999998</v>
      </c>
      <c r="N9" s="57"/>
    </row>
    <row r="10" spans="1:14">
      <c r="A10" s="51">
        <v>6</v>
      </c>
      <c r="B10" s="27" t="s">
        <v>524</v>
      </c>
      <c r="C10" s="47">
        <v>10.01</v>
      </c>
      <c r="D10" s="47">
        <v>31.44</v>
      </c>
      <c r="E10" s="47">
        <v>85.01</v>
      </c>
      <c r="F10" s="47">
        <v>136.5</v>
      </c>
      <c r="G10" s="47">
        <f>133.91</f>
        <v>133.91</v>
      </c>
      <c r="I10" s="49">
        <v>85.01</v>
      </c>
      <c r="J10" s="50">
        <v>231.69</v>
      </c>
      <c r="K10" s="50">
        <v>239.25</v>
      </c>
      <c r="L10" s="50">
        <v>367.78</v>
      </c>
      <c r="M10" s="50">
        <v>484.83</v>
      </c>
      <c r="N10" s="57"/>
    </row>
    <row r="11" spans="1:14">
      <c r="A11" s="51">
        <v>7</v>
      </c>
      <c r="B11" s="27" t="s">
        <v>523</v>
      </c>
      <c r="C11" s="54">
        <v>25.67</v>
      </c>
      <c r="D11" s="54">
        <v>29.43</v>
      </c>
      <c r="E11" s="47">
        <v>129.41</v>
      </c>
      <c r="F11" s="47">
        <v>154.22</v>
      </c>
      <c r="G11" s="47">
        <v>180.9</v>
      </c>
      <c r="I11" s="49">
        <v>129.41</v>
      </c>
      <c r="J11" s="50">
        <v>204.73</v>
      </c>
      <c r="K11" s="50">
        <v>401.03</v>
      </c>
      <c r="L11" s="50">
        <v>518.4</v>
      </c>
      <c r="M11" s="50">
        <v>232.57</v>
      </c>
      <c r="N11" s="57"/>
    </row>
    <row r="12" spans="1:14">
      <c r="A12" s="51">
        <v>8</v>
      </c>
      <c r="B12" s="27" t="s">
        <v>522</v>
      </c>
      <c r="C12" s="47">
        <v>22.3</v>
      </c>
      <c r="D12" s="54">
        <v>26.28</v>
      </c>
      <c r="E12" s="47">
        <v>107.15</v>
      </c>
      <c r="F12" s="47">
        <v>124.18</v>
      </c>
      <c r="G12" s="47">
        <v>186.42</v>
      </c>
      <c r="I12" s="49">
        <v>107.15</v>
      </c>
      <c r="J12" s="50">
        <v>118.71</v>
      </c>
      <c r="K12" s="50">
        <v>330.21</v>
      </c>
      <c r="L12" s="47">
        <v>433.03</v>
      </c>
      <c r="M12" s="50">
        <v>383.33</v>
      </c>
      <c r="N12" s="57"/>
    </row>
    <row r="13" spans="1:14">
      <c r="A13" s="51">
        <v>9</v>
      </c>
      <c r="B13" s="27" t="s">
        <v>521</v>
      </c>
      <c r="C13" s="47">
        <v>22.59</v>
      </c>
      <c r="D13" s="47">
        <v>84.46</v>
      </c>
      <c r="E13" s="47">
        <v>111.93</v>
      </c>
      <c r="F13" s="47">
        <v>88.08</v>
      </c>
      <c r="G13" s="47">
        <v>145.55000000000001</v>
      </c>
      <c r="I13" s="49">
        <v>111.93</v>
      </c>
      <c r="J13" s="50">
        <v>210.97</v>
      </c>
      <c r="K13" s="50">
        <v>235.66</v>
      </c>
      <c r="L13" s="50">
        <v>367.78</v>
      </c>
      <c r="M13" s="50">
        <v>470.42</v>
      </c>
      <c r="N13" s="57"/>
    </row>
    <row r="14" spans="1:14">
      <c r="A14" s="51">
        <v>10</v>
      </c>
      <c r="B14" s="27" t="s">
        <v>520</v>
      </c>
      <c r="C14" s="54">
        <v>19.829999999999998</v>
      </c>
      <c r="D14" s="47">
        <v>56.04</v>
      </c>
      <c r="E14" s="47">
        <v>105.64</v>
      </c>
      <c r="F14" s="47">
        <v>152.44999999999999</v>
      </c>
      <c r="G14" s="47">
        <v>152.09</v>
      </c>
      <c r="I14" s="49">
        <v>105.64</v>
      </c>
      <c r="J14" s="50">
        <v>172.73</v>
      </c>
      <c r="K14" s="50">
        <v>295.43</v>
      </c>
      <c r="L14" s="50">
        <v>450.42</v>
      </c>
      <c r="M14" s="50">
        <v>401.08</v>
      </c>
      <c r="N14" s="57"/>
    </row>
    <row r="15" spans="1:14">
      <c r="A15" s="51">
        <v>11</v>
      </c>
      <c r="B15" s="51" t="s">
        <v>539</v>
      </c>
      <c r="C15" s="54">
        <v>38.9</v>
      </c>
      <c r="D15" s="54">
        <v>78.400000000000006</v>
      </c>
      <c r="E15" s="54">
        <v>78.14</v>
      </c>
      <c r="F15" s="54">
        <v>121.79</v>
      </c>
      <c r="G15" s="54">
        <v>137.84</v>
      </c>
      <c r="I15" s="50">
        <v>78.14</v>
      </c>
      <c r="J15" s="50">
        <v>219.31</v>
      </c>
      <c r="K15" s="50">
        <v>260.70999999999998</v>
      </c>
      <c r="L15" s="50">
        <v>380.41</v>
      </c>
      <c r="M15" s="50">
        <v>361.4</v>
      </c>
      <c r="N15" s="57"/>
    </row>
    <row r="16" spans="1:14">
      <c r="A16" s="51">
        <v>12</v>
      </c>
      <c r="B16" s="51" t="s">
        <v>540</v>
      </c>
      <c r="C16" s="50">
        <v>10.61</v>
      </c>
      <c r="D16" s="48">
        <v>25.09</v>
      </c>
      <c r="E16" s="54">
        <v>95.22</v>
      </c>
      <c r="F16" s="54">
        <v>138.03</v>
      </c>
      <c r="G16" s="54">
        <v>147.53</v>
      </c>
      <c r="I16" s="50">
        <v>95.22</v>
      </c>
      <c r="J16" s="50">
        <v>192.67</v>
      </c>
      <c r="K16" s="50">
        <v>350.73</v>
      </c>
      <c r="L16" s="50">
        <v>410.7</v>
      </c>
      <c r="M16" s="50">
        <v>394.42</v>
      </c>
      <c r="N16" s="57"/>
    </row>
    <row r="17" spans="1:14">
      <c r="A17" s="51">
        <v>13</v>
      </c>
      <c r="B17" s="51" t="s">
        <v>541</v>
      </c>
      <c r="C17" s="50">
        <v>15.29</v>
      </c>
      <c r="D17" s="54">
        <v>26.58</v>
      </c>
      <c r="E17" s="54">
        <v>82.26</v>
      </c>
      <c r="F17" s="54">
        <v>118.67</v>
      </c>
      <c r="G17" s="54">
        <v>174.94</v>
      </c>
      <c r="I17" s="50">
        <v>82.26</v>
      </c>
      <c r="J17" s="50">
        <v>72.5</v>
      </c>
      <c r="K17" s="50">
        <v>322.44</v>
      </c>
      <c r="L17" s="50">
        <v>401.35</v>
      </c>
      <c r="M17" s="50">
        <v>578.45000000000005</v>
      </c>
      <c r="N17" s="57"/>
    </row>
    <row r="18" spans="1:14">
      <c r="A18" s="51">
        <v>14</v>
      </c>
      <c r="B18" s="51" t="s">
        <v>542</v>
      </c>
      <c r="C18" s="54">
        <v>21.64</v>
      </c>
      <c r="D18" s="54">
        <v>42.11</v>
      </c>
      <c r="E18" s="54">
        <v>58.87</v>
      </c>
      <c r="F18" s="54">
        <f>79.13</f>
        <v>79.13</v>
      </c>
      <c r="G18" s="54">
        <v>107.65</v>
      </c>
      <c r="I18" s="50">
        <v>58.87</v>
      </c>
      <c r="J18" s="50">
        <v>212.36</v>
      </c>
      <c r="K18" s="50">
        <v>221.98</v>
      </c>
      <c r="L18" s="50">
        <v>223.86</v>
      </c>
      <c r="M18" s="50">
        <v>257.19</v>
      </c>
      <c r="N18" s="57"/>
    </row>
    <row r="19" spans="1:14">
      <c r="A19" s="51">
        <v>15</v>
      </c>
      <c r="B19" s="51" t="s">
        <v>543</v>
      </c>
      <c r="C19" s="54">
        <v>23.62</v>
      </c>
      <c r="D19" s="54">
        <v>28.95</v>
      </c>
      <c r="E19" s="54">
        <v>41.27</v>
      </c>
      <c r="F19" s="54">
        <v>121.48</v>
      </c>
      <c r="G19" s="54">
        <f>166.97</f>
        <v>166.97</v>
      </c>
      <c r="I19" s="50">
        <v>41.27</v>
      </c>
      <c r="J19" s="50">
        <v>123.01</v>
      </c>
      <c r="K19" s="50">
        <v>344.53</v>
      </c>
      <c r="L19" s="50">
        <v>461.74</v>
      </c>
      <c r="M19" s="54">
        <f>423.47</f>
        <v>423.47</v>
      </c>
      <c r="N19" s="57"/>
    </row>
    <row r="20" spans="1:14">
      <c r="A20" s="51">
        <v>16</v>
      </c>
      <c r="B20" s="51" t="s">
        <v>544</v>
      </c>
      <c r="C20" s="50">
        <v>14.25</v>
      </c>
      <c r="D20" s="47">
        <v>30.12</v>
      </c>
      <c r="E20" s="54">
        <v>53.9</v>
      </c>
      <c r="F20" s="54">
        <v>88.33</v>
      </c>
      <c r="G20" s="54">
        <v>143.9</v>
      </c>
      <c r="I20" s="50">
        <v>53.9</v>
      </c>
      <c r="J20" s="50">
        <v>207.16</v>
      </c>
      <c r="K20" s="50">
        <v>264.75</v>
      </c>
      <c r="L20" s="50">
        <v>389.13</v>
      </c>
      <c r="M20" s="50">
        <v>264.87</v>
      </c>
      <c r="N20" s="57"/>
    </row>
    <row r="21" spans="1:14">
      <c r="A21" s="51">
        <v>17</v>
      </c>
      <c r="B21" s="51" t="s">
        <v>545</v>
      </c>
      <c r="C21" s="48">
        <v>14.35</v>
      </c>
      <c r="D21" s="54">
        <v>33.36</v>
      </c>
      <c r="E21" s="54">
        <v>47.88</v>
      </c>
      <c r="F21" s="54">
        <v>64.66</v>
      </c>
      <c r="G21" s="54">
        <v>77.08</v>
      </c>
      <c r="I21" s="50">
        <v>47.88</v>
      </c>
      <c r="J21" s="50">
        <v>175.14</v>
      </c>
      <c r="K21" s="50">
        <v>265.39</v>
      </c>
      <c r="L21" s="50">
        <v>366.21</v>
      </c>
      <c r="M21" s="50">
        <v>376.13</v>
      </c>
      <c r="N21" s="57"/>
    </row>
    <row r="22" spans="1:14">
      <c r="A22" s="51">
        <v>18</v>
      </c>
      <c r="B22" s="51" t="s">
        <v>546</v>
      </c>
      <c r="C22" s="48">
        <v>11.15</v>
      </c>
      <c r="D22" s="54">
        <v>34.22</v>
      </c>
      <c r="E22" s="54">
        <v>79.81</v>
      </c>
      <c r="F22" s="54">
        <v>70.069999999999993</v>
      </c>
      <c r="G22" s="54">
        <v>96.81</v>
      </c>
      <c r="I22" s="50">
        <v>79.81</v>
      </c>
      <c r="J22" s="50">
        <v>192.25</v>
      </c>
      <c r="K22" s="50">
        <v>328.81</v>
      </c>
      <c r="L22" s="50">
        <v>468.46</v>
      </c>
      <c r="M22" s="50">
        <v>477.9</v>
      </c>
      <c r="N22" s="57"/>
    </row>
    <row r="23" spans="1:14">
      <c r="A23" s="51">
        <v>19</v>
      </c>
      <c r="B23" s="51" t="s">
        <v>547</v>
      </c>
      <c r="C23" s="54">
        <v>20.059999999999999</v>
      </c>
      <c r="D23" s="48">
        <v>24.81</v>
      </c>
      <c r="E23" s="54">
        <v>119.68</v>
      </c>
      <c r="F23" s="54">
        <v>104.27</v>
      </c>
      <c r="G23" s="54">
        <v>122.69</v>
      </c>
      <c r="I23" s="50">
        <v>119.68</v>
      </c>
      <c r="J23" s="50">
        <v>83.5</v>
      </c>
      <c r="K23" s="50">
        <v>249.46</v>
      </c>
      <c r="L23" s="50">
        <v>412.26</v>
      </c>
      <c r="M23" s="50">
        <v>469.73</v>
      </c>
      <c r="N23" s="57"/>
    </row>
    <row r="24" spans="1:14">
      <c r="A24" s="51">
        <v>20</v>
      </c>
      <c r="B24" s="51" t="s">
        <v>548</v>
      </c>
      <c r="C24" s="54">
        <v>60.28</v>
      </c>
      <c r="D24" s="54">
        <v>52.11</v>
      </c>
      <c r="E24" s="54">
        <v>138.36000000000001</v>
      </c>
      <c r="F24" s="54">
        <v>125.65</v>
      </c>
      <c r="G24" s="54">
        <v>155.66999999999999</v>
      </c>
      <c r="I24" s="50">
        <v>138.36000000000001</v>
      </c>
      <c r="J24" s="50">
        <v>63.05</v>
      </c>
      <c r="K24" s="50">
        <v>297.17</v>
      </c>
      <c r="L24" s="50">
        <v>408.92</v>
      </c>
      <c r="M24" s="50">
        <v>588.22</v>
      </c>
      <c r="N24" s="57"/>
    </row>
    <row r="25" spans="1:14">
      <c r="A25" s="51">
        <v>21</v>
      </c>
      <c r="B25" s="51" t="s">
        <v>549</v>
      </c>
      <c r="C25" s="54">
        <v>16.53</v>
      </c>
      <c r="D25" s="48">
        <v>25.95</v>
      </c>
      <c r="E25" s="54">
        <v>55.41</v>
      </c>
      <c r="F25" s="54">
        <v>133.44999999999999</v>
      </c>
      <c r="G25" s="54">
        <v>149.74</v>
      </c>
      <c r="I25" s="50">
        <v>55.41</v>
      </c>
      <c r="J25" s="50">
        <v>126.63</v>
      </c>
      <c r="K25" s="50">
        <v>173.69</v>
      </c>
      <c r="L25" s="50">
        <v>349.18</v>
      </c>
      <c r="M25" s="50">
        <v>443.23</v>
      </c>
      <c r="N25" s="57"/>
    </row>
    <row r="26" spans="1:14">
      <c r="A26" s="51">
        <v>22</v>
      </c>
      <c r="B26" s="51" t="s">
        <v>550</v>
      </c>
      <c r="C26" s="50">
        <v>13.63</v>
      </c>
      <c r="D26" s="48">
        <v>25.56</v>
      </c>
      <c r="E26" s="54">
        <v>49.43</v>
      </c>
      <c r="F26" s="54">
        <v>73.33</v>
      </c>
      <c r="G26" s="54">
        <v>150.06</v>
      </c>
      <c r="I26" s="50">
        <v>49.43</v>
      </c>
      <c r="J26" s="50">
        <v>218.62</v>
      </c>
      <c r="K26" s="50">
        <v>292.49</v>
      </c>
      <c r="L26" s="50">
        <v>411.08</v>
      </c>
      <c r="M26" s="50">
        <v>509.16</v>
      </c>
      <c r="N26" s="57"/>
    </row>
    <row r="27" spans="1:14">
      <c r="A27" s="51">
        <v>23</v>
      </c>
      <c r="B27" s="51" t="s">
        <v>551</v>
      </c>
      <c r="C27" s="50">
        <v>11.04</v>
      </c>
      <c r="D27" s="54">
        <v>40.36</v>
      </c>
      <c r="E27" s="54">
        <v>86.19</v>
      </c>
      <c r="F27" s="54">
        <v>78.900000000000006</v>
      </c>
      <c r="G27" s="54">
        <v>61.29</v>
      </c>
      <c r="I27" s="50">
        <v>86.19</v>
      </c>
      <c r="J27" s="50">
        <v>200.95</v>
      </c>
      <c r="K27" s="50">
        <v>213.94</v>
      </c>
      <c r="L27" s="50">
        <v>391.4</v>
      </c>
      <c r="M27" s="50">
        <v>461.74</v>
      </c>
      <c r="N27" s="57"/>
    </row>
    <row r="28" spans="1:14">
      <c r="A28" s="51">
        <v>24</v>
      </c>
      <c r="B28" s="51" t="s">
        <v>552</v>
      </c>
      <c r="C28" s="48">
        <v>11.51</v>
      </c>
      <c r="D28" s="48">
        <v>23.29</v>
      </c>
      <c r="E28" s="54">
        <v>58.44</v>
      </c>
      <c r="F28" s="54">
        <v>103.28</v>
      </c>
      <c r="G28" s="54">
        <v>123.26</v>
      </c>
      <c r="I28" s="50">
        <v>58.44</v>
      </c>
      <c r="J28" s="50">
        <v>144.84</v>
      </c>
      <c r="K28" s="50">
        <v>224.45</v>
      </c>
      <c r="L28" s="50">
        <v>362.77</v>
      </c>
      <c r="M28" s="50">
        <v>453.18</v>
      </c>
      <c r="N28" s="57"/>
    </row>
    <row r="29" spans="1:14">
      <c r="A29" s="51">
        <v>25</v>
      </c>
      <c r="B29" s="51" t="s">
        <v>32</v>
      </c>
      <c r="C29" s="48">
        <v>12.22</v>
      </c>
      <c r="D29" s="48">
        <v>30.89</v>
      </c>
      <c r="E29" s="54">
        <v>43.13</v>
      </c>
      <c r="F29" s="54">
        <v>68.150000000000006</v>
      </c>
      <c r="G29" s="54">
        <v>132.57</v>
      </c>
      <c r="I29" s="50">
        <v>43.13</v>
      </c>
      <c r="J29" s="50">
        <v>211.32</v>
      </c>
      <c r="K29" s="50">
        <v>234.28</v>
      </c>
      <c r="L29" s="50">
        <v>423.81</v>
      </c>
      <c r="M29" s="50">
        <v>442.73</v>
      </c>
      <c r="N29" s="57"/>
    </row>
    <row r="30" spans="1:14">
      <c r="A30" s="51">
        <v>26</v>
      </c>
      <c r="B30" s="51" t="s">
        <v>553</v>
      </c>
      <c r="C30" s="48">
        <v>19.3</v>
      </c>
      <c r="D30" s="54">
        <v>51.27</v>
      </c>
      <c r="E30" s="54">
        <v>49.5</v>
      </c>
      <c r="F30" s="54">
        <v>85.88</v>
      </c>
      <c r="G30" s="54">
        <v>146.97</v>
      </c>
      <c r="I30" s="50">
        <v>49.5</v>
      </c>
      <c r="J30" s="50">
        <v>128.97</v>
      </c>
      <c r="K30" s="50">
        <v>233.5</v>
      </c>
      <c r="L30" s="50">
        <v>462.16</v>
      </c>
      <c r="M30" s="50">
        <v>432.63</v>
      </c>
      <c r="N30" s="57"/>
    </row>
    <row r="31" spans="1:14">
      <c r="A31" s="51">
        <v>27</v>
      </c>
      <c r="B31" s="51" t="s">
        <v>35</v>
      </c>
      <c r="C31" s="54">
        <v>30.92</v>
      </c>
      <c r="D31" s="48">
        <v>46.95</v>
      </c>
      <c r="E31" s="54">
        <v>71.11</v>
      </c>
      <c r="F31" s="54">
        <v>104.23</v>
      </c>
      <c r="G31" s="54">
        <v>131.94</v>
      </c>
      <c r="I31" s="50">
        <v>71.11</v>
      </c>
      <c r="J31" s="50">
        <v>174.71</v>
      </c>
      <c r="K31" s="50">
        <v>256.25</v>
      </c>
      <c r="L31" s="50">
        <v>150.15</v>
      </c>
      <c r="M31" s="50">
        <v>331.32</v>
      </c>
      <c r="N31" s="57"/>
    </row>
    <row r="32" spans="1:14">
      <c r="A32" s="51">
        <v>28</v>
      </c>
      <c r="B32" s="51" t="s">
        <v>519</v>
      </c>
      <c r="C32" s="48">
        <v>12.73</v>
      </c>
      <c r="D32" s="48">
        <v>24.11</v>
      </c>
      <c r="E32" s="54">
        <v>109.76</v>
      </c>
      <c r="F32" s="54">
        <v>99.5</v>
      </c>
      <c r="G32" s="54">
        <f>134.28</f>
        <v>134.28</v>
      </c>
      <c r="I32" s="50">
        <v>109.76</v>
      </c>
      <c r="J32" s="50">
        <v>154.78</v>
      </c>
      <c r="K32" s="50">
        <v>247.25</v>
      </c>
      <c r="L32" s="50">
        <v>263.57</v>
      </c>
      <c r="M32" s="54">
        <f>272.96</f>
        <v>272.95999999999998</v>
      </c>
      <c r="N32" s="57"/>
    </row>
    <row r="33" spans="1:20">
      <c r="A33" s="51">
        <v>29</v>
      </c>
      <c r="B33" s="51" t="s">
        <v>37</v>
      </c>
      <c r="C33" s="54">
        <v>17</v>
      </c>
      <c r="D33" s="48">
        <v>47.47</v>
      </c>
      <c r="E33" s="54">
        <v>80.94</v>
      </c>
      <c r="F33" s="54">
        <v>107.61</v>
      </c>
      <c r="G33" s="54">
        <v>161.26</v>
      </c>
      <c r="I33" s="50">
        <v>80.94</v>
      </c>
      <c r="J33" s="50">
        <v>184.02</v>
      </c>
      <c r="K33" s="50">
        <v>306.38</v>
      </c>
      <c r="L33" s="50">
        <v>361.35</v>
      </c>
      <c r="M33" s="50">
        <v>460.94</v>
      </c>
      <c r="N33" s="57"/>
    </row>
    <row r="34" spans="1:20">
      <c r="A34" s="51">
        <v>30</v>
      </c>
      <c r="B34" s="51" t="s">
        <v>554</v>
      </c>
      <c r="C34" s="50">
        <v>16.920000000000002</v>
      </c>
      <c r="D34" s="48">
        <v>24.18</v>
      </c>
      <c r="E34" s="54">
        <v>58.17</v>
      </c>
      <c r="F34" s="54">
        <v>110.48</v>
      </c>
      <c r="G34" s="54">
        <v>150.53</v>
      </c>
      <c r="I34" s="50">
        <v>58.17</v>
      </c>
      <c r="J34" s="50">
        <v>174.08</v>
      </c>
      <c r="K34" s="50">
        <v>318.81</v>
      </c>
      <c r="L34" s="50">
        <v>423.44</v>
      </c>
      <c r="M34" s="50">
        <v>330.77</v>
      </c>
      <c r="N34" s="57"/>
    </row>
    <row r="35" spans="1:20">
      <c r="A35" s="51">
        <v>31</v>
      </c>
      <c r="B35" s="51" t="s">
        <v>555</v>
      </c>
      <c r="C35" s="50">
        <v>14.13</v>
      </c>
      <c r="D35" s="54">
        <v>72.02</v>
      </c>
      <c r="E35" s="54">
        <v>83.13</v>
      </c>
      <c r="F35" s="54">
        <v>112.49</v>
      </c>
      <c r="G35" s="54">
        <v>154.47999999999999</v>
      </c>
      <c r="I35" s="50">
        <v>83.13</v>
      </c>
      <c r="J35" s="50">
        <v>60.04</v>
      </c>
      <c r="K35" s="50">
        <v>325.14</v>
      </c>
      <c r="L35" s="50">
        <v>435.64</v>
      </c>
      <c r="M35" s="50">
        <v>225.3</v>
      </c>
      <c r="N35" s="57"/>
    </row>
    <row r="36" spans="1:20">
      <c r="A36" s="51">
        <v>32</v>
      </c>
      <c r="B36" s="51" t="s">
        <v>40</v>
      </c>
      <c r="C36" s="48">
        <v>12.6</v>
      </c>
      <c r="D36" s="48">
        <v>20.09</v>
      </c>
      <c r="E36" s="54">
        <v>63.86</v>
      </c>
      <c r="F36" s="54">
        <v>114.8</v>
      </c>
      <c r="G36" s="54">
        <v>137.04</v>
      </c>
      <c r="I36" s="50">
        <v>63.86</v>
      </c>
      <c r="J36" s="50">
        <v>214.73</v>
      </c>
      <c r="K36" s="50">
        <v>325.48</v>
      </c>
      <c r="L36" s="50">
        <v>384.66</v>
      </c>
      <c r="M36" s="50">
        <v>326.49</v>
      </c>
      <c r="N36" s="57"/>
    </row>
    <row r="37" spans="1:20">
      <c r="A37" s="51">
        <v>33</v>
      </c>
      <c r="B37" s="51" t="s">
        <v>556</v>
      </c>
      <c r="C37" s="50">
        <v>16.309999999999999</v>
      </c>
      <c r="D37" s="48">
        <v>17.920000000000002</v>
      </c>
      <c r="E37" s="54">
        <v>49.06</v>
      </c>
      <c r="F37" s="54">
        <v>126.22</v>
      </c>
      <c r="G37" s="54">
        <v>126.71</v>
      </c>
      <c r="I37" s="50">
        <v>49.06</v>
      </c>
      <c r="J37" s="50">
        <v>121.83</v>
      </c>
      <c r="K37" s="50">
        <v>341.24</v>
      </c>
      <c r="L37" s="50">
        <v>316.52999999999997</v>
      </c>
      <c r="M37" s="50">
        <v>506.4</v>
      </c>
      <c r="N37" s="57"/>
    </row>
    <row r="38" spans="1:20">
      <c r="A38" s="51">
        <v>34</v>
      </c>
      <c r="B38" s="51" t="s">
        <v>557</v>
      </c>
      <c r="C38" s="54">
        <v>18.89</v>
      </c>
      <c r="D38" s="48">
        <v>42.75</v>
      </c>
      <c r="E38" s="54">
        <v>89.14</v>
      </c>
      <c r="F38" s="54">
        <v>113.82</v>
      </c>
      <c r="G38" s="54">
        <v>177.78</v>
      </c>
      <c r="I38" s="50">
        <v>89.14</v>
      </c>
      <c r="J38" s="50">
        <v>176.85</v>
      </c>
      <c r="K38" s="50">
        <v>351.16</v>
      </c>
      <c r="L38" s="50">
        <v>312.39</v>
      </c>
      <c r="M38" s="50">
        <v>314.82</v>
      </c>
      <c r="N38" s="57"/>
    </row>
    <row r="39" spans="1:20">
      <c r="A39" s="51">
        <v>35</v>
      </c>
      <c r="B39" s="51" t="s">
        <v>558</v>
      </c>
      <c r="C39" s="54">
        <v>10.46</v>
      </c>
      <c r="D39" s="48">
        <v>37.119999999999997</v>
      </c>
      <c r="E39" s="54">
        <v>63.84</v>
      </c>
      <c r="F39" s="54">
        <v>131.51</v>
      </c>
      <c r="G39" s="54">
        <v>136.68</v>
      </c>
      <c r="I39" s="50">
        <v>63.84</v>
      </c>
      <c r="J39" s="50">
        <v>96.67</v>
      </c>
      <c r="K39" s="50">
        <v>83.4</v>
      </c>
      <c r="L39" s="50">
        <v>392.17</v>
      </c>
      <c r="M39" s="54">
        <f>244.77</f>
        <v>244.77</v>
      </c>
      <c r="N39" s="57"/>
    </row>
    <row r="40" spans="1:20">
      <c r="A40" s="51">
        <v>36</v>
      </c>
      <c r="B40" s="51" t="s">
        <v>559</v>
      </c>
      <c r="C40" s="50">
        <v>26.28</v>
      </c>
      <c r="D40" s="48">
        <v>22.78</v>
      </c>
      <c r="E40" s="54">
        <v>90.46</v>
      </c>
      <c r="F40" s="54">
        <v>144.4</v>
      </c>
      <c r="G40" s="54">
        <v>157.28</v>
      </c>
      <c r="I40" s="50">
        <v>90.46</v>
      </c>
      <c r="J40" s="50">
        <v>217.99</v>
      </c>
      <c r="K40" s="50">
        <v>358.17</v>
      </c>
      <c r="L40" s="50">
        <v>364.54</v>
      </c>
      <c r="M40" s="50">
        <v>452.64</v>
      </c>
      <c r="N40" s="57"/>
    </row>
    <row r="41" spans="1:20">
      <c r="A41" s="51">
        <v>37</v>
      </c>
      <c r="B41" s="51" t="s">
        <v>560</v>
      </c>
      <c r="C41" s="54">
        <v>17.079999999999998</v>
      </c>
      <c r="D41" s="48">
        <v>55.98</v>
      </c>
      <c r="E41" s="54">
        <v>65.319999999999993</v>
      </c>
      <c r="F41" s="54">
        <v>117.04</v>
      </c>
      <c r="G41" s="54">
        <v>90.64</v>
      </c>
      <c r="I41" s="50">
        <v>65.319999999999993</v>
      </c>
      <c r="J41" s="50">
        <v>206.07</v>
      </c>
      <c r="K41" s="50">
        <v>246.98</v>
      </c>
      <c r="L41" s="50">
        <v>291.81</v>
      </c>
      <c r="M41" s="50">
        <v>376.56</v>
      </c>
      <c r="N41" s="57"/>
    </row>
    <row r="42" spans="1:20">
      <c r="A42" s="51">
        <v>38</v>
      </c>
      <c r="B42" s="51" t="s">
        <v>561</v>
      </c>
      <c r="C42" s="50">
        <v>13.83</v>
      </c>
      <c r="D42" s="48">
        <v>46.46</v>
      </c>
      <c r="E42" s="47">
        <v>66.06</v>
      </c>
      <c r="F42" s="54">
        <v>119.18</v>
      </c>
      <c r="G42" s="54">
        <v>171.2</v>
      </c>
      <c r="I42" s="49">
        <v>66.06</v>
      </c>
      <c r="J42" s="50">
        <v>172.07</v>
      </c>
      <c r="K42" s="50">
        <v>287.24</v>
      </c>
      <c r="L42" s="50">
        <v>454.48</v>
      </c>
      <c r="M42" s="50">
        <v>371.14</v>
      </c>
      <c r="N42" s="57"/>
    </row>
    <row r="43" spans="1:20">
      <c r="A43" s="51">
        <v>39</v>
      </c>
      <c r="B43" s="51" t="s">
        <v>562</v>
      </c>
      <c r="C43" s="48">
        <v>11.4</v>
      </c>
      <c r="D43" s="54">
        <v>55.64</v>
      </c>
      <c r="E43" s="54">
        <v>43.84</v>
      </c>
      <c r="F43" s="54">
        <v>122.91</v>
      </c>
      <c r="G43" s="54">
        <v>158</v>
      </c>
      <c r="I43" s="50">
        <v>43.84</v>
      </c>
      <c r="J43" s="50">
        <v>168.15</v>
      </c>
      <c r="K43" s="50">
        <v>294.95999999999998</v>
      </c>
      <c r="L43" s="50">
        <v>448.29</v>
      </c>
      <c r="M43" s="50">
        <v>245.76</v>
      </c>
      <c r="N43" s="57"/>
    </row>
    <row r="44" spans="1:20">
      <c r="A44" s="51">
        <v>40</v>
      </c>
      <c r="B44" s="51" t="s">
        <v>52</v>
      </c>
      <c r="C44" s="48">
        <v>13.76</v>
      </c>
      <c r="D44" s="48">
        <v>30.83</v>
      </c>
      <c r="E44" s="54">
        <v>81.38</v>
      </c>
      <c r="F44" s="54">
        <v>57.11</v>
      </c>
      <c r="G44" s="54">
        <v>136.87</v>
      </c>
      <c r="I44" s="50">
        <v>81.38</v>
      </c>
      <c r="J44" s="50">
        <v>204.69</v>
      </c>
      <c r="K44" s="50">
        <v>250.69</v>
      </c>
      <c r="L44" s="50">
        <v>385.88</v>
      </c>
      <c r="M44" s="50">
        <v>311.07</v>
      </c>
      <c r="N44" s="57"/>
      <c r="O44" s="48"/>
      <c r="P44" s="49"/>
      <c r="Q44" s="47"/>
      <c r="R44" s="49"/>
      <c r="S44" s="49"/>
      <c r="T44" s="49"/>
    </row>
    <row r="45" spans="1:20">
      <c r="A45" s="51">
        <v>41</v>
      </c>
      <c r="B45" s="51" t="s">
        <v>53</v>
      </c>
      <c r="C45" s="48">
        <v>10.11</v>
      </c>
      <c r="D45" s="48">
        <v>39.799999999999997</v>
      </c>
      <c r="E45" s="54">
        <v>73.150000000000006</v>
      </c>
      <c r="F45" s="54">
        <v>120.59</v>
      </c>
      <c r="G45" s="54">
        <v>151.84</v>
      </c>
      <c r="I45" s="50">
        <v>73.150000000000006</v>
      </c>
      <c r="J45" s="50">
        <v>84.79</v>
      </c>
      <c r="K45" s="50">
        <v>311.14</v>
      </c>
      <c r="L45" s="50">
        <v>424.65</v>
      </c>
      <c r="M45" s="50">
        <v>456.1</v>
      </c>
      <c r="N45" s="57"/>
      <c r="O45" s="48"/>
      <c r="P45" s="47"/>
      <c r="Q45" s="47"/>
      <c r="R45" s="47"/>
      <c r="S45" s="47"/>
      <c r="T45" s="47"/>
    </row>
    <row r="46" spans="1:20">
      <c r="A46" s="51">
        <v>42</v>
      </c>
      <c r="B46" s="51" t="s">
        <v>563</v>
      </c>
      <c r="C46" s="54">
        <v>9.4499999999999993</v>
      </c>
      <c r="D46" s="48">
        <v>56.97</v>
      </c>
      <c r="E46" s="54">
        <v>73.7</v>
      </c>
      <c r="F46" s="54">
        <v>98.89</v>
      </c>
      <c r="G46" s="54">
        <v>176.45</v>
      </c>
      <c r="I46" s="50">
        <v>73.7</v>
      </c>
      <c r="J46" s="50">
        <v>259.69</v>
      </c>
      <c r="K46" s="50">
        <v>319.39999999999998</v>
      </c>
      <c r="L46" s="50">
        <v>187.09</v>
      </c>
      <c r="M46" s="50">
        <v>358.65</v>
      </c>
      <c r="N46" s="57"/>
    </row>
    <row r="47" spans="1:20">
      <c r="A47" s="51">
        <v>43</v>
      </c>
      <c r="B47" s="51" t="s">
        <v>564</v>
      </c>
      <c r="C47" s="50">
        <v>16.97</v>
      </c>
      <c r="D47" s="48">
        <v>20.62</v>
      </c>
      <c r="E47" s="54">
        <v>30.71</v>
      </c>
      <c r="F47" s="54">
        <v>102.17</v>
      </c>
      <c r="G47" s="54">
        <v>121.55</v>
      </c>
      <c r="I47" s="50">
        <v>30.71</v>
      </c>
      <c r="J47" s="50">
        <v>252.4</v>
      </c>
      <c r="K47" s="50">
        <v>268.48</v>
      </c>
      <c r="L47" s="50">
        <v>404.52</v>
      </c>
      <c r="M47" s="50">
        <v>418.22</v>
      </c>
      <c r="N47" s="57"/>
    </row>
    <row r="48" spans="1:20">
      <c r="A48" s="51">
        <v>44</v>
      </c>
      <c r="B48" s="51" t="s">
        <v>565</v>
      </c>
      <c r="C48" s="54">
        <v>20.79</v>
      </c>
      <c r="D48" s="54">
        <v>76.5</v>
      </c>
      <c r="E48" s="54">
        <v>95.51</v>
      </c>
      <c r="F48" s="54">
        <v>93.93</v>
      </c>
      <c r="G48" s="54">
        <v>174.64</v>
      </c>
      <c r="I48" s="50">
        <v>95.51</v>
      </c>
      <c r="J48" s="50">
        <v>186.05</v>
      </c>
      <c r="K48" s="50">
        <v>253.38</v>
      </c>
      <c r="L48" s="50">
        <v>314.95999999999998</v>
      </c>
      <c r="M48" s="50">
        <v>319.68</v>
      </c>
      <c r="N48" s="57"/>
    </row>
    <row r="49" spans="1:20">
      <c r="A49" s="51">
        <v>45</v>
      </c>
      <c r="B49" s="51" t="s">
        <v>566</v>
      </c>
      <c r="C49" s="50">
        <v>17.39</v>
      </c>
      <c r="D49" s="48">
        <v>45.84</v>
      </c>
      <c r="E49" s="54">
        <v>78.569999999999993</v>
      </c>
      <c r="F49" s="54">
        <v>123.45</v>
      </c>
      <c r="G49" s="54">
        <v>131.01</v>
      </c>
      <c r="I49" s="50">
        <v>78.569999999999993</v>
      </c>
      <c r="J49" s="50">
        <v>175.71</v>
      </c>
      <c r="K49" s="50">
        <v>256.11</v>
      </c>
      <c r="L49" s="50">
        <v>337.64</v>
      </c>
      <c r="M49" s="50">
        <v>400.22</v>
      </c>
      <c r="N49" s="57"/>
      <c r="P49" s="47"/>
      <c r="Q49" s="47"/>
      <c r="R49" s="47"/>
      <c r="S49" s="47"/>
      <c r="T49" s="47"/>
    </row>
    <row r="50" spans="1:20">
      <c r="A50" s="51">
        <v>46</v>
      </c>
      <c r="B50" s="51" t="s">
        <v>567</v>
      </c>
      <c r="C50" s="54">
        <v>20.73</v>
      </c>
      <c r="D50" s="48">
        <v>35.14</v>
      </c>
      <c r="E50" s="54">
        <v>54.97</v>
      </c>
      <c r="F50" s="54">
        <v>120.68</v>
      </c>
      <c r="G50" s="54">
        <v>147.52000000000001</v>
      </c>
      <c r="I50" s="50">
        <v>54.97</v>
      </c>
      <c r="J50" s="50">
        <v>281.92</v>
      </c>
      <c r="K50" s="50">
        <v>226.43</v>
      </c>
      <c r="L50" s="50">
        <v>341.19</v>
      </c>
      <c r="M50" s="50">
        <v>485.83</v>
      </c>
      <c r="N50" s="57"/>
      <c r="P50" s="47"/>
      <c r="Q50" s="47"/>
      <c r="R50" s="47"/>
      <c r="S50" s="47"/>
      <c r="T50" s="47"/>
    </row>
    <row r="51" spans="1:20">
      <c r="A51" s="51">
        <v>47</v>
      </c>
      <c r="B51" s="51" t="s">
        <v>568</v>
      </c>
      <c r="C51" s="50">
        <v>16.72</v>
      </c>
      <c r="D51" s="48">
        <v>36.270000000000003</v>
      </c>
      <c r="E51" s="54">
        <v>57.02</v>
      </c>
      <c r="F51" s="54">
        <v>77.91</v>
      </c>
      <c r="G51" s="54">
        <v>122.19</v>
      </c>
      <c r="I51" s="50">
        <v>57.02</v>
      </c>
      <c r="J51" s="50">
        <v>209.92</v>
      </c>
      <c r="K51" s="50">
        <v>213.23</v>
      </c>
      <c r="L51" s="50">
        <v>218.5</v>
      </c>
      <c r="M51" s="50">
        <v>320.97000000000003</v>
      </c>
      <c r="N51" s="57"/>
    </row>
    <row r="52" spans="1:20">
      <c r="A52" s="51">
        <v>48</v>
      </c>
      <c r="B52" s="51" t="s">
        <v>60</v>
      </c>
      <c r="C52" s="50">
        <v>23.58</v>
      </c>
      <c r="D52" s="48">
        <v>53.84</v>
      </c>
      <c r="E52" s="54">
        <v>78.930000000000007</v>
      </c>
      <c r="F52" s="54">
        <v>134.71</v>
      </c>
      <c r="G52" s="54">
        <v>158.24</v>
      </c>
      <c r="I52" s="50">
        <v>78.930000000000007</v>
      </c>
      <c r="J52" s="50">
        <v>160.75</v>
      </c>
      <c r="K52" s="50">
        <v>299.18</v>
      </c>
      <c r="L52" s="50">
        <v>340.44</v>
      </c>
      <c r="M52" s="50">
        <v>474.69</v>
      </c>
      <c r="N52" s="57"/>
    </row>
    <row r="53" spans="1:20">
      <c r="A53" s="51">
        <v>49</v>
      </c>
      <c r="B53" s="51" t="s">
        <v>569</v>
      </c>
      <c r="C53" s="50">
        <v>13.64</v>
      </c>
      <c r="D53" s="48">
        <v>22.6</v>
      </c>
      <c r="E53" s="54">
        <v>49.23</v>
      </c>
      <c r="F53" s="54">
        <v>76.38</v>
      </c>
      <c r="G53" s="54">
        <v>113.67</v>
      </c>
      <c r="I53" s="50">
        <v>49.23</v>
      </c>
      <c r="J53" s="50">
        <v>171.79</v>
      </c>
      <c r="K53" s="50">
        <v>272.45</v>
      </c>
      <c r="L53" s="50">
        <v>312.97000000000003</v>
      </c>
      <c r="M53" s="50">
        <v>380.12</v>
      </c>
      <c r="N53" s="57"/>
    </row>
    <row r="54" spans="1:20">
      <c r="A54" s="51">
        <v>50</v>
      </c>
      <c r="B54" s="51" t="s">
        <v>570</v>
      </c>
      <c r="C54" s="48">
        <v>11.59</v>
      </c>
      <c r="D54" s="54">
        <v>55.13</v>
      </c>
      <c r="E54" s="54">
        <v>79.78</v>
      </c>
      <c r="F54" s="54">
        <v>113.74</v>
      </c>
      <c r="G54" s="54">
        <f>138.78</f>
        <v>138.78</v>
      </c>
      <c r="I54" s="50">
        <v>79.78</v>
      </c>
      <c r="J54" s="50">
        <v>148.28</v>
      </c>
      <c r="K54" s="50">
        <v>253.45</v>
      </c>
      <c r="L54" s="50">
        <v>241.97</v>
      </c>
      <c r="M54" s="50">
        <v>340.26</v>
      </c>
      <c r="N54" s="57"/>
    </row>
    <row r="55" spans="1:20">
      <c r="A55" s="51">
        <v>51</v>
      </c>
      <c r="B55" s="51" t="s">
        <v>518</v>
      </c>
      <c r="C55" s="50">
        <v>20.440000000000001</v>
      </c>
      <c r="D55" s="47">
        <v>39.869999999999997</v>
      </c>
      <c r="E55" s="54">
        <v>80.209999999999994</v>
      </c>
      <c r="F55" s="54">
        <v>135.85</v>
      </c>
      <c r="G55" s="54">
        <v>150.93</v>
      </c>
      <c r="I55" s="50">
        <v>80.209999999999994</v>
      </c>
      <c r="J55" s="50">
        <v>208.9</v>
      </c>
      <c r="K55" s="50">
        <v>286.44</v>
      </c>
      <c r="L55" s="50">
        <v>334.33</v>
      </c>
      <c r="M55" s="50">
        <v>398.5</v>
      </c>
      <c r="N55" s="57"/>
    </row>
    <row r="56" spans="1:20">
      <c r="A56" s="51">
        <v>52</v>
      </c>
      <c r="B56" s="51" t="s">
        <v>571</v>
      </c>
      <c r="C56" s="54">
        <v>21.03</v>
      </c>
      <c r="D56" s="48">
        <v>39.630000000000003</v>
      </c>
      <c r="E56" s="54">
        <v>65.83</v>
      </c>
      <c r="F56" s="54">
        <v>124.48</v>
      </c>
      <c r="G56" s="54">
        <v>124.74</v>
      </c>
      <c r="I56" s="50">
        <v>65.83</v>
      </c>
      <c r="J56" s="50">
        <v>240.93</v>
      </c>
      <c r="K56" s="50">
        <v>320.33</v>
      </c>
      <c r="L56" s="50">
        <v>301.22000000000003</v>
      </c>
      <c r="M56" s="50">
        <v>421.63</v>
      </c>
      <c r="N56" s="57"/>
    </row>
    <row r="57" spans="1:20">
      <c r="A57" s="51">
        <v>53</v>
      </c>
      <c r="B57" s="51" t="s">
        <v>572</v>
      </c>
      <c r="C57" s="54">
        <v>18.760000000000002</v>
      </c>
      <c r="D57" s="54">
        <v>64.459999999999994</v>
      </c>
      <c r="E57" s="54">
        <v>59.23</v>
      </c>
      <c r="F57" s="54">
        <v>95.01</v>
      </c>
      <c r="G57" s="54">
        <v>136.44</v>
      </c>
      <c r="I57" s="50">
        <v>59.23</v>
      </c>
      <c r="J57" s="50">
        <v>235.66</v>
      </c>
      <c r="K57" s="50">
        <v>293.75</v>
      </c>
      <c r="L57" s="50">
        <v>349.46</v>
      </c>
      <c r="M57" s="50">
        <v>454.81</v>
      </c>
      <c r="N57" s="57"/>
    </row>
    <row r="58" spans="1:20">
      <c r="A58" s="51">
        <v>54</v>
      </c>
      <c r="B58" s="51" t="s">
        <v>573</v>
      </c>
      <c r="C58" s="50">
        <v>15.13</v>
      </c>
      <c r="D58" s="48">
        <v>21.29</v>
      </c>
      <c r="E58" s="54">
        <v>68.36</v>
      </c>
      <c r="F58" s="54">
        <v>77.36</v>
      </c>
      <c r="G58" s="54">
        <f>116.56</f>
        <v>116.56</v>
      </c>
      <c r="I58" s="50">
        <v>68.36</v>
      </c>
      <c r="J58" s="50">
        <v>223.82</v>
      </c>
      <c r="K58" s="50">
        <v>259.64</v>
      </c>
      <c r="L58" s="50">
        <v>343.53</v>
      </c>
      <c r="M58" s="50">
        <v>421.34</v>
      </c>
      <c r="N58" s="57"/>
    </row>
    <row r="59" spans="1:20">
      <c r="A59" s="51">
        <v>55</v>
      </c>
      <c r="B59" s="51" t="s">
        <v>69</v>
      </c>
      <c r="C59" s="48">
        <v>11.65</v>
      </c>
      <c r="D59" s="48">
        <v>23.84</v>
      </c>
      <c r="E59" s="54">
        <v>64.209999999999994</v>
      </c>
      <c r="F59" s="54">
        <v>128.04</v>
      </c>
      <c r="G59" s="54">
        <v>149.43</v>
      </c>
      <c r="I59" s="50">
        <v>64.209999999999994</v>
      </c>
      <c r="J59" s="50">
        <v>205.89</v>
      </c>
      <c r="K59" s="50">
        <v>340.54</v>
      </c>
      <c r="L59" s="50">
        <v>254.42</v>
      </c>
      <c r="M59" s="50">
        <v>370.49</v>
      </c>
      <c r="N59" s="57"/>
    </row>
    <row r="60" spans="1:20">
      <c r="A60" s="51">
        <v>56</v>
      </c>
      <c r="B60" s="51" t="s">
        <v>71</v>
      </c>
      <c r="C60" s="48">
        <v>14.77</v>
      </c>
      <c r="D60" s="48">
        <v>25.79</v>
      </c>
      <c r="E60" s="54">
        <v>85.57</v>
      </c>
      <c r="F60" s="54">
        <v>115.33</v>
      </c>
      <c r="G60" s="54">
        <v>114.58</v>
      </c>
      <c r="I60" s="50">
        <v>85.57</v>
      </c>
      <c r="J60" s="50">
        <v>205.8</v>
      </c>
      <c r="K60" s="50">
        <v>325.14</v>
      </c>
      <c r="L60" s="50">
        <v>311.51</v>
      </c>
      <c r="M60" s="50">
        <v>491.33</v>
      </c>
      <c r="N60" s="57"/>
    </row>
    <row r="61" spans="1:20">
      <c r="A61" s="51">
        <v>57</v>
      </c>
      <c r="B61" s="51" t="s">
        <v>574</v>
      </c>
      <c r="C61" s="48">
        <v>9.99</v>
      </c>
      <c r="D61" s="54">
        <v>75.98</v>
      </c>
      <c r="E61" s="54">
        <v>65.47</v>
      </c>
      <c r="F61" s="54">
        <v>101.7</v>
      </c>
      <c r="G61" s="54">
        <v>119.07</v>
      </c>
      <c r="I61" s="50">
        <v>65.47</v>
      </c>
      <c r="J61" s="50">
        <v>191.54</v>
      </c>
      <c r="K61" s="50">
        <v>291.64999999999998</v>
      </c>
      <c r="L61" s="50">
        <v>409.61</v>
      </c>
      <c r="M61" s="50">
        <v>234.13</v>
      </c>
      <c r="N61" s="57"/>
    </row>
    <row r="62" spans="1:20">
      <c r="A62" s="51">
        <v>58</v>
      </c>
      <c r="B62" s="51" t="s">
        <v>575</v>
      </c>
      <c r="C62" s="50">
        <v>17.21</v>
      </c>
      <c r="D62" s="48">
        <v>37.770000000000003</v>
      </c>
      <c r="E62" s="54">
        <v>92.49</v>
      </c>
      <c r="F62" s="54">
        <v>112.77</v>
      </c>
      <c r="G62" s="54">
        <v>146.86000000000001</v>
      </c>
      <c r="I62" s="50">
        <v>92.49</v>
      </c>
      <c r="J62" s="50">
        <v>192.11</v>
      </c>
      <c r="K62" s="50">
        <v>437.39</v>
      </c>
      <c r="L62" s="50">
        <v>372.33</v>
      </c>
      <c r="M62" s="54">
        <f>463.34</f>
        <v>463.34</v>
      </c>
      <c r="N62" s="57"/>
    </row>
    <row r="63" spans="1:20">
      <c r="A63" s="51">
        <v>59</v>
      </c>
      <c r="B63" s="51" t="s">
        <v>576</v>
      </c>
      <c r="C63" s="50">
        <v>11.07</v>
      </c>
      <c r="D63" s="54">
        <v>59.55</v>
      </c>
      <c r="E63" s="54">
        <v>71.81</v>
      </c>
      <c r="F63" s="55">
        <v>110.17</v>
      </c>
      <c r="G63" s="54">
        <f>109.94</f>
        <v>109.94</v>
      </c>
      <c r="I63" s="50">
        <v>71.81</v>
      </c>
      <c r="J63" s="50">
        <v>202.89</v>
      </c>
      <c r="K63" s="50">
        <v>273.26</v>
      </c>
      <c r="L63" s="50">
        <v>469.06</v>
      </c>
      <c r="M63" s="50">
        <v>477.14</v>
      </c>
      <c r="N63" s="57"/>
    </row>
    <row r="64" spans="1:20">
      <c r="A64" s="51">
        <v>60</v>
      </c>
      <c r="B64" s="51" t="s">
        <v>577</v>
      </c>
      <c r="C64" s="54">
        <v>25.49</v>
      </c>
      <c r="D64" s="48">
        <v>60.13</v>
      </c>
      <c r="E64" s="54">
        <v>31.71</v>
      </c>
      <c r="F64" s="54">
        <v>112.66</v>
      </c>
      <c r="G64" s="54">
        <v>144.80000000000001</v>
      </c>
      <c r="I64" s="50">
        <v>31.71</v>
      </c>
      <c r="J64" s="50">
        <v>188.02</v>
      </c>
      <c r="K64" s="50">
        <v>356.48</v>
      </c>
      <c r="L64" s="50">
        <v>411.34</v>
      </c>
      <c r="M64" s="50">
        <v>340.89</v>
      </c>
      <c r="N64" s="57"/>
    </row>
    <row r="65" spans="1:14">
      <c r="A65" s="51">
        <v>61</v>
      </c>
      <c r="B65" s="51" t="s">
        <v>578</v>
      </c>
      <c r="C65" s="50">
        <v>13.64</v>
      </c>
      <c r="D65" s="48">
        <v>25.73</v>
      </c>
      <c r="E65" s="54">
        <v>47.35</v>
      </c>
      <c r="F65" s="54">
        <v>104.3</v>
      </c>
      <c r="G65" s="54">
        <v>147.65</v>
      </c>
      <c r="I65" s="50">
        <v>47.35</v>
      </c>
      <c r="J65" s="50">
        <v>115.68</v>
      </c>
      <c r="K65" s="50">
        <v>317.35000000000002</v>
      </c>
      <c r="L65" s="50">
        <v>315.02999999999997</v>
      </c>
      <c r="M65" s="50">
        <v>479.65</v>
      </c>
      <c r="N65" s="57"/>
    </row>
    <row r="66" spans="1:14">
      <c r="A66" s="51">
        <v>62</v>
      </c>
      <c r="B66" s="51" t="s">
        <v>579</v>
      </c>
      <c r="C66" s="50">
        <v>13.36</v>
      </c>
      <c r="D66" s="48">
        <v>17.98</v>
      </c>
      <c r="E66" s="54">
        <v>67.650000000000006</v>
      </c>
      <c r="F66" s="54">
        <v>124.42</v>
      </c>
      <c r="G66" s="54">
        <v>157.04</v>
      </c>
      <c r="I66" s="50">
        <v>67.650000000000006</v>
      </c>
      <c r="J66" s="50">
        <v>156.16</v>
      </c>
      <c r="K66" s="50">
        <v>342.06</v>
      </c>
      <c r="L66" s="50">
        <v>289.14</v>
      </c>
      <c r="M66" s="50">
        <v>296.69</v>
      </c>
      <c r="N66" s="57"/>
    </row>
    <row r="67" spans="1:14">
      <c r="A67" s="51">
        <v>63</v>
      </c>
      <c r="B67" s="51" t="s">
        <v>517</v>
      </c>
      <c r="C67" s="54">
        <v>16.77</v>
      </c>
      <c r="D67" s="48">
        <v>23.28</v>
      </c>
      <c r="E67" s="54">
        <v>74.19</v>
      </c>
      <c r="F67" s="54">
        <v>119.14</v>
      </c>
      <c r="G67" s="54">
        <f>149.57</f>
        <v>149.57</v>
      </c>
      <c r="I67" s="50">
        <v>74.19</v>
      </c>
      <c r="J67" s="50">
        <v>231.82</v>
      </c>
      <c r="K67" s="50">
        <v>311.66000000000003</v>
      </c>
      <c r="L67" s="50">
        <v>356</v>
      </c>
      <c r="M67" s="50">
        <v>485.37</v>
      </c>
      <c r="N67" s="57"/>
    </row>
    <row r="68" spans="1:14">
      <c r="A68" s="51">
        <v>64</v>
      </c>
      <c r="B68" s="51" t="s">
        <v>580</v>
      </c>
      <c r="C68" s="54">
        <v>24.18</v>
      </c>
      <c r="D68" s="48">
        <v>46.33</v>
      </c>
      <c r="E68" s="47">
        <v>72.56</v>
      </c>
      <c r="F68" s="54">
        <v>107.55</v>
      </c>
      <c r="G68" s="54">
        <v>140.27000000000001</v>
      </c>
      <c r="I68" s="49">
        <v>72.56</v>
      </c>
      <c r="J68" s="50">
        <v>96.23</v>
      </c>
      <c r="K68" s="50">
        <v>301.08999999999997</v>
      </c>
      <c r="L68" s="50">
        <v>373.66</v>
      </c>
      <c r="M68" s="50">
        <v>257.32</v>
      </c>
      <c r="N68" s="57"/>
    </row>
    <row r="69" spans="1:14">
      <c r="A69" s="51">
        <v>65</v>
      </c>
      <c r="B69" s="51" t="s">
        <v>581</v>
      </c>
      <c r="C69" s="50">
        <v>18.829999999999998</v>
      </c>
      <c r="D69" s="48">
        <v>24.72</v>
      </c>
      <c r="E69" s="54">
        <v>78.12</v>
      </c>
      <c r="F69" s="54">
        <v>102.44</v>
      </c>
      <c r="G69" s="54">
        <v>146.38</v>
      </c>
      <c r="I69" s="50">
        <v>78.12</v>
      </c>
      <c r="J69" s="50">
        <v>65.34</v>
      </c>
      <c r="K69" s="50">
        <v>121.7</v>
      </c>
      <c r="L69" s="50">
        <v>283.36</v>
      </c>
      <c r="M69" s="54">
        <f>289.59</f>
        <v>289.58999999999997</v>
      </c>
      <c r="N69" s="57"/>
    </row>
    <row r="70" spans="1:14">
      <c r="A70" s="51">
        <v>66</v>
      </c>
      <c r="B70" s="51" t="s">
        <v>582</v>
      </c>
      <c r="C70" s="54">
        <v>20.84</v>
      </c>
      <c r="D70" s="48">
        <v>17.32</v>
      </c>
      <c r="E70" s="54">
        <v>75.13</v>
      </c>
      <c r="F70" s="54">
        <v>90.12</v>
      </c>
      <c r="G70" s="54">
        <v>149.21</v>
      </c>
      <c r="I70" s="50">
        <v>75.13</v>
      </c>
      <c r="J70" s="50">
        <v>150.63999999999999</v>
      </c>
      <c r="K70" s="50">
        <v>264.14</v>
      </c>
      <c r="L70" s="50">
        <v>375.25</v>
      </c>
      <c r="M70" s="50">
        <v>274.92</v>
      </c>
      <c r="N70" s="57"/>
    </row>
    <row r="71" spans="1:14">
      <c r="A71" s="51">
        <v>67</v>
      </c>
      <c r="B71" s="51" t="s">
        <v>583</v>
      </c>
      <c r="C71" s="48">
        <v>11.86</v>
      </c>
      <c r="D71" s="48">
        <v>24.03</v>
      </c>
      <c r="E71" s="47">
        <v>78.53</v>
      </c>
      <c r="F71" s="54">
        <v>82.03</v>
      </c>
      <c r="G71" s="54">
        <v>126.91</v>
      </c>
      <c r="I71" s="49">
        <v>78.53</v>
      </c>
      <c r="J71" s="50">
        <v>182.75</v>
      </c>
      <c r="K71" s="50">
        <v>318.12</v>
      </c>
      <c r="L71" s="50">
        <v>283.04000000000002</v>
      </c>
      <c r="M71" s="50">
        <v>215.78</v>
      </c>
      <c r="N71" s="57"/>
    </row>
    <row r="72" spans="1:14">
      <c r="A72" s="51">
        <v>68</v>
      </c>
      <c r="B72" s="51" t="s">
        <v>584</v>
      </c>
      <c r="C72" s="48">
        <v>12.63</v>
      </c>
      <c r="D72" s="54">
        <v>81.430000000000007</v>
      </c>
      <c r="E72" s="54">
        <v>63.66</v>
      </c>
      <c r="F72" s="54">
        <v>102.65</v>
      </c>
      <c r="G72" s="54">
        <v>146.91999999999999</v>
      </c>
      <c r="I72" s="50">
        <v>63.66</v>
      </c>
      <c r="J72" s="50">
        <v>91.6</v>
      </c>
      <c r="K72" s="50">
        <v>250.89</v>
      </c>
      <c r="L72" s="50">
        <v>350.31</v>
      </c>
      <c r="M72" s="54">
        <f>244.83</f>
        <v>244.83</v>
      </c>
      <c r="N72" s="57"/>
    </row>
    <row r="73" spans="1:14">
      <c r="A73" s="51">
        <v>69</v>
      </c>
      <c r="B73" s="51" t="s">
        <v>85</v>
      </c>
      <c r="C73" s="48">
        <v>15.24</v>
      </c>
      <c r="D73" s="48">
        <v>61</v>
      </c>
      <c r="E73" s="54">
        <v>66</v>
      </c>
      <c r="F73" s="54">
        <v>83.88</v>
      </c>
      <c r="G73" s="54">
        <v>145.65</v>
      </c>
      <c r="I73" s="50">
        <v>66</v>
      </c>
      <c r="J73" s="50">
        <v>178.14</v>
      </c>
      <c r="K73" s="50">
        <v>280.74</v>
      </c>
      <c r="L73" s="50">
        <v>354.35</v>
      </c>
      <c r="M73" s="50">
        <v>314.89</v>
      </c>
      <c r="N73" s="57"/>
    </row>
    <row r="74" spans="1:14">
      <c r="A74" s="51">
        <v>70</v>
      </c>
      <c r="B74" s="51" t="s">
        <v>585</v>
      </c>
      <c r="C74" s="54">
        <v>26.55</v>
      </c>
      <c r="D74" s="48">
        <v>39</v>
      </c>
      <c r="E74" s="54">
        <v>47.54</v>
      </c>
      <c r="F74" s="54">
        <v>102.23</v>
      </c>
      <c r="G74" s="54">
        <v>135.84</v>
      </c>
      <c r="I74" s="50">
        <v>47.54</v>
      </c>
      <c r="J74" s="50">
        <v>199.85</v>
      </c>
      <c r="K74" s="50">
        <v>306.41000000000003</v>
      </c>
      <c r="L74" s="50">
        <v>406.62</v>
      </c>
      <c r="M74" s="50">
        <v>408.87</v>
      </c>
      <c r="N74" s="57"/>
    </row>
    <row r="75" spans="1:14">
      <c r="A75" s="51">
        <v>71</v>
      </c>
      <c r="B75" s="51" t="s">
        <v>586</v>
      </c>
      <c r="C75" s="50">
        <v>16.829999999999998</v>
      </c>
      <c r="D75" s="48">
        <v>37.79</v>
      </c>
      <c r="E75" s="54">
        <v>84.33</v>
      </c>
      <c r="F75" s="54">
        <v>90.19</v>
      </c>
      <c r="G75" s="54">
        <v>130.59</v>
      </c>
      <c r="I75" s="50">
        <v>84.33</v>
      </c>
      <c r="J75" s="50">
        <v>184.22</v>
      </c>
      <c r="K75" s="50">
        <v>344.2</v>
      </c>
      <c r="L75" s="50">
        <v>368.82</v>
      </c>
      <c r="M75" s="50">
        <v>539.28</v>
      </c>
      <c r="N75" s="57"/>
    </row>
    <row r="76" spans="1:14">
      <c r="A76" s="51">
        <v>72</v>
      </c>
      <c r="B76" s="51" t="s">
        <v>587</v>
      </c>
      <c r="C76" s="48">
        <v>24.07</v>
      </c>
      <c r="D76" s="54">
        <v>55.14</v>
      </c>
      <c r="E76" s="54">
        <v>83.99</v>
      </c>
      <c r="F76" s="54">
        <v>135.76</v>
      </c>
      <c r="G76" s="54">
        <v>147.86000000000001</v>
      </c>
      <c r="I76" s="50">
        <v>83.99</v>
      </c>
      <c r="J76" s="50">
        <v>188.19</v>
      </c>
      <c r="K76" s="50">
        <v>320.08</v>
      </c>
      <c r="L76" s="50">
        <v>377.54</v>
      </c>
      <c r="M76" s="50">
        <v>233.32</v>
      </c>
      <c r="N76" s="57"/>
    </row>
    <row r="77" spans="1:14">
      <c r="A77" s="51">
        <v>73</v>
      </c>
      <c r="B77" s="51" t="s">
        <v>89</v>
      </c>
      <c r="C77" s="48">
        <v>17</v>
      </c>
      <c r="D77" s="48">
        <v>39.04</v>
      </c>
      <c r="E77" s="54">
        <v>76.489999999999995</v>
      </c>
      <c r="F77" s="54">
        <v>102.94</v>
      </c>
      <c r="G77" s="54">
        <v>126.2</v>
      </c>
      <c r="I77" s="50">
        <v>76.489999999999995</v>
      </c>
      <c r="J77" s="50">
        <v>146.68</v>
      </c>
      <c r="K77" s="50">
        <v>234.14</v>
      </c>
      <c r="L77" s="50">
        <v>418.42</v>
      </c>
      <c r="M77" s="50">
        <v>401.29</v>
      </c>
      <c r="N77" s="57"/>
    </row>
    <row r="78" spans="1:14">
      <c r="A78" s="51">
        <v>74</v>
      </c>
      <c r="B78" s="51" t="s">
        <v>90</v>
      </c>
      <c r="C78" s="48">
        <v>8.58</v>
      </c>
      <c r="D78" s="48">
        <v>29.75</v>
      </c>
      <c r="E78" s="54">
        <v>42.36</v>
      </c>
      <c r="F78" s="54">
        <v>98.38</v>
      </c>
      <c r="G78" s="54">
        <v>140.19999999999999</v>
      </c>
      <c r="I78" s="50">
        <v>42.36</v>
      </c>
      <c r="J78" s="50">
        <v>201.86</v>
      </c>
      <c r="K78" s="50">
        <v>342.29</v>
      </c>
      <c r="L78" s="50">
        <v>182.91</v>
      </c>
      <c r="M78" s="50">
        <v>272.05</v>
      </c>
      <c r="N78" s="57"/>
    </row>
    <row r="79" spans="1:14">
      <c r="A79" s="51">
        <v>75</v>
      </c>
      <c r="B79" s="51" t="s">
        <v>588</v>
      </c>
      <c r="C79" s="50">
        <v>16.3</v>
      </c>
      <c r="D79" s="48">
        <v>40.57</v>
      </c>
      <c r="E79" s="54">
        <v>58.17</v>
      </c>
      <c r="F79" s="54">
        <v>130.22</v>
      </c>
      <c r="G79" s="54">
        <v>151.25</v>
      </c>
      <c r="I79" s="50">
        <v>58.17</v>
      </c>
      <c r="J79" s="50">
        <v>226.78</v>
      </c>
      <c r="K79" s="50">
        <v>275</v>
      </c>
      <c r="L79" s="50">
        <v>356.73</v>
      </c>
      <c r="M79" s="50">
        <v>399.62</v>
      </c>
      <c r="N79" s="57"/>
    </row>
    <row r="80" spans="1:14">
      <c r="A80" s="51">
        <v>76</v>
      </c>
      <c r="B80" s="51" t="s">
        <v>589</v>
      </c>
      <c r="C80" s="54">
        <v>11.68</v>
      </c>
      <c r="D80" s="48">
        <v>30.92</v>
      </c>
      <c r="E80" s="54">
        <v>84.94</v>
      </c>
      <c r="F80" s="54">
        <v>99.96</v>
      </c>
      <c r="G80" s="54">
        <v>145.52000000000001</v>
      </c>
      <c r="I80" s="50">
        <v>84.94</v>
      </c>
      <c r="J80" s="50">
        <v>201.58</v>
      </c>
      <c r="K80" s="50">
        <v>117.99</v>
      </c>
      <c r="L80" s="50">
        <v>475.54</v>
      </c>
      <c r="M80" s="50">
        <v>518.05999999999995</v>
      </c>
      <c r="N80" s="57"/>
    </row>
    <row r="81" spans="1:14">
      <c r="A81" s="51">
        <v>77</v>
      </c>
      <c r="B81" s="51" t="s">
        <v>590</v>
      </c>
      <c r="C81" s="48">
        <v>10.51</v>
      </c>
      <c r="D81" s="48">
        <v>38.29</v>
      </c>
      <c r="E81" s="47">
        <v>74.12</v>
      </c>
      <c r="F81" s="54">
        <v>110.55</v>
      </c>
      <c r="G81" s="54">
        <v>150.4</v>
      </c>
      <c r="I81" s="49">
        <v>74.12</v>
      </c>
      <c r="J81" s="50">
        <v>191.69</v>
      </c>
      <c r="K81" s="50">
        <v>263.27999999999997</v>
      </c>
      <c r="L81" s="50">
        <v>378.91</v>
      </c>
      <c r="M81" s="50">
        <v>424.51</v>
      </c>
      <c r="N81" s="57"/>
    </row>
    <row r="82" spans="1:14">
      <c r="A82" s="51">
        <v>78</v>
      </c>
      <c r="B82" s="51" t="s">
        <v>591</v>
      </c>
      <c r="C82" s="54">
        <v>18.829999999999998</v>
      </c>
      <c r="D82" s="54">
        <v>68.81</v>
      </c>
      <c r="E82" s="54">
        <v>62.56</v>
      </c>
      <c r="F82" s="54">
        <v>123.82</v>
      </c>
      <c r="G82" s="54">
        <v>138.74</v>
      </c>
      <c r="I82" s="50">
        <v>62.56</v>
      </c>
      <c r="J82" s="50">
        <v>97.79</v>
      </c>
      <c r="K82" s="50">
        <v>274.58</v>
      </c>
      <c r="L82" s="50">
        <v>450.32</v>
      </c>
      <c r="M82" s="54">
        <f>264.64</f>
        <v>264.64</v>
      </c>
      <c r="N82" s="57"/>
    </row>
    <row r="83" spans="1:14">
      <c r="A83" s="51">
        <v>79</v>
      </c>
      <c r="B83" s="51" t="s">
        <v>592</v>
      </c>
      <c r="C83" s="54">
        <v>14.48</v>
      </c>
      <c r="D83" s="54">
        <v>76.67</v>
      </c>
      <c r="E83" s="54">
        <v>65.41</v>
      </c>
      <c r="F83" s="54">
        <v>115.59</v>
      </c>
      <c r="G83" s="54">
        <v>64.41</v>
      </c>
      <c r="I83" s="50">
        <v>65.41</v>
      </c>
      <c r="J83" s="50">
        <v>205.34</v>
      </c>
      <c r="K83" s="50">
        <v>247.12</v>
      </c>
      <c r="L83" s="50">
        <v>351.49</v>
      </c>
      <c r="M83" s="50">
        <v>323.8</v>
      </c>
      <c r="N83" s="57"/>
    </row>
    <row r="84" spans="1:14">
      <c r="A84" s="51">
        <v>80</v>
      </c>
      <c r="B84" s="51" t="s">
        <v>593</v>
      </c>
      <c r="C84" s="54">
        <v>28.2</v>
      </c>
      <c r="D84" s="48">
        <v>33.99</v>
      </c>
      <c r="E84" s="54">
        <v>104.89</v>
      </c>
      <c r="F84" s="54">
        <v>81.61</v>
      </c>
      <c r="G84" s="54">
        <v>136.34</v>
      </c>
      <c r="I84" s="50">
        <v>104.89</v>
      </c>
      <c r="J84" s="50">
        <v>91.46</v>
      </c>
      <c r="K84" s="50">
        <v>206.85</v>
      </c>
      <c r="L84" s="50">
        <v>349.84</v>
      </c>
      <c r="M84" s="54">
        <f>224.9</f>
        <v>224.9</v>
      </c>
      <c r="N84" s="57"/>
    </row>
    <row r="85" spans="1:14">
      <c r="A85" s="51">
        <v>81</v>
      </c>
      <c r="B85" s="51" t="s">
        <v>97</v>
      </c>
      <c r="C85" s="48">
        <v>12.85</v>
      </c>
      <c r="D85" s="48">
        <v>35.03</v>
      </c>
      <c r="E85" s="54">
        <v>84.8</v>
      </c>
      <c r="F85" s="54">
        <v>132.81</v>
      </c>
      <c r="G85" s="54">
        <v>160.69</v>
      </c>
      <c r="I85" s="50">
        <v>84.8</v>
      </c>
      <c r="J85" s="50">
        <v>189.46</v>
      </c>
      <c r="K85" s="50">
        <v>157.74</v>
      </c>
      <c r="L85" s="50">
        <v>236.93</v>
      </c>
      <c r="M85" s="50">
        <v>275.33999999999997</v>
      </c>
      <c r="N85" s="57"/>
    </row>
    <row r="86" spans="1:14">
      <c r="A86" s="51">
        <v>82</v>
      </c>
      <c r="B86" s="51" t="s">
        <v>594</v>
      </c>
      <c r="C86" s="54">
        <v>14.16</v>
      </c>
      <c r="D86" s="48">
        <v>37.119999999999997</v>
      </c>
      <c r="E86" s="54">
        <v>86.19</v>
      </c>
      <c r="F86" s="54">
        <v>77.86</v>
      </c>
      <c r="G86" s="54">
        <v>94.73</v>
      </c>
      <c r="I86" s="50">
        <v>86.19</v>
      </c>
      <c r="J86" s="50">
        <v>229.52</v>
      </c>
      <c r="K86" s="50">
        <v>271</v>
      </c>
      <c r="L86" s="50">
        <v>246.19</v>
      </c>
      <c r="M86" s="50">
        <v>414.12</v>
      </c>
      <c r="N86" s="57"/>
    </row>
    <row r="87" spans="1:14">
      <c r="A87" s="51">
        <v>83</v>
      </c>
      <c r="B87" s="51" t="s">
        <v>595</v>
      </c>
      <c r="C87" s="54">
        <v>12.6</v>
      </c>
      <c r="D87" s="48">
        <v>25.88</v>
      </c>
      <c r="E87" s="54">
        <v>64.87</v>
      </c>
      <c r="F87" s="54">
        <v>93.08</v>
      </c>
      <c r="G87" s="54">
        <v>88.52</v>
      </c>
      <c r="I87" s="50">
        <v>64.87</v>
      </c>
      <c r="J87" s="50">
        <v>135.41</v>
      </c>
      <c r="K87" s="50">
        <v>236.03</v>
      </c>
      <c r="L87" s="50">
        <v>391.34</v>
      </c>
      <c r="M87" s="50">
        <v>364.78</v>
      </c>
      <c r="N87" s="57"/>
    </row>
    <row r="88" spans="1:14">
      <c r="A88" s="51">
        <v>84</v>
      </c>
      <c r="B88" s="51" t="s">
        <v>596</v>
      </c>
      <c r="C88" s="48">
        <v>11.61</v>
      </c>
      <c r="D88" s="48">
        <v>35.020000000000003</v>
      </c>
      <c r="E88" s="54">
        <f>62.61</f>
        <v>62.61</v>
      </c>
      <c r="F88" s="55">
        <v>110.2</v>
      </c>
      <c r="G88" s="54">
        <v>134.18</v>
      </c>
      <c r="I88" s="50">
        <v>62.61</v>
      </c>
      <c r="J88" s="50">
        <v>74.95</v>
      </c>
      <c r="K88" s="50">
        <v>210.51</v>
      </c>
      <c r="L88" s="50">
        <v>263.10000000000002</v>
      </c>
      <c r="M88" s="50">
        <v>332.19</v>
      </c>
      <c r="N88" s="57"/>
    </row>
    <row r="89" spans="1:14">
      <c r="A89" s="51">
        <v>85</v>
      </c>
      <c r="B89" s="51" t="s">
        <v>597</v>
      </c>
      <c r="C89" s="54">
        <v>12.91</v>
      </c>
      <c r="D89" s="56">
        <v>33.81</v>
      </c>
      <c r="E89" s="54">
        <v>88.3</v>
      </c>
      <c r="F89" s="54">
        <v>110.68</v>
      </c>
      <c r="G89" s="54">
        <v>152.55000000000001</v>
      </c>
      <c r="I89" s="50">
        <v>88.3</v>
      </c>
      <c r="J89" s="50">
        <v>190.14</v>
      </c>
      <c r="K89" s="50">
        <v>244.44</v>
      </c>
      <c r="L89" s="50">
        <v>257.68</v>
      </c>
      <c r="M89" s="50">
        <v>496.52</v>
      </c>
      <c r="N89" s="57"/>
    </row>
    <row r="90" spans="1:14">
      <c r="A90" s="51">
        <v>86</v>
      </c>
      <c r="B90" s="51" t="s">
        <v>598</v>
      </c>
      <c r="C90" s="50">
        <v>15.24</v>
      </c>
      <c r="D90" s="54">
        <v>46.82</v>
      </c>
      <c r="E90" s="54">
        <v>107.59</v>
      </c>
      <c r="F90" s="54">
        <v>86.95</v>
      </c>
      <c r="G90" s="54">
        <v>129.72999999999999</v>
      </c>
      <c r="I90" s="50">
        <v>107.59</v>
      </c>
      <c r="J90" s="50">
        <v>112.89</v>
      </c>
      <c r="K90" s="50">
        <v>261.22000000000003</v>
      </c>
      <c r="L90" s="50">
        <v>324.22000000000003</v>
      </c>
      <c r="M90" s="50">
        <v>510.43</v>
      </c>
      <c r="N90" s="57"/>
    </row>
    <row r="91" spans="1:14">
      <c r="A91" s="51">
        <v>87</v>
      </c>
      <c r="B91" s="51" t="s">
        <v>599</v>
      </c>
      <c r="C91" s="54">
        <v>16.079999999999998</v>
      </c>
      <c r="D91" s="48">
        <v>36.61</v>
      </c>
      <c r="E91" s="54">
        <v>70.88</v>
      </c>
      <c r="F91" s="54">
        <v>95.86</v>
      </c>
      <c r="G91" s="54">
        <v>138.22999999999999</v>
      </c>
      <c r="I91" s="50">
        <v>70.88</v>
      </c>
      <c r="J91" s="50">
        <v>196.33</v>
      </c>
      <c r="K91" s="50">
        <v>290.25</v>
      </c>
      <c r="L91" s="54">
        <v>367.84</v>
      </c>
      <c r="M91" s="50">
        <v>391.82</v>
      </c>
      <c r="N91" s="57"/>
    </row>
    <row r="92" spans="1:14">
      <c r="A92" s="51">
        <v>88</v>
      </c>
      <c r="B92" s="51" t="s">
        <v>106</v>
      </c>
      <c r="C92" s="48">
        <v>16.190000000000001</v>
      </c>
      <c r="D92" s="48">
        <v>35.94</v>
      </c>
      <c r="E92" s="54">
        <v>59.12</v>
      </c>
      <c r="F92" s="54">
        <v>130.76</v>
      </c>
      <c r="G92" s="54">
        <v>177.55</v>
      </c>
      <c r="I92" s="50">
        <v>59.12</v>
      </c>
      <c r="J92" s="50">
        <v>172.59</v>
      </c>
      <c r="K92" s="50">
        <v>339.92</v>
      </c>
      <c r="L92" s="50">
        <v>311.89</v>
      </c>
      <c r="M92" s="50">
        <v>450.97</v>
      </c>
      <c r="N92" s="57"/>
    </row>
    <row r="93" spans="1:14">
      <c r="A93" s="51">
        <v>89</v>
      </c>
      <c r="B93" s="51" t="s">
        <v>107</v>
      </c>
      <c r="C93" s="48">
        <v>12.92</v>
      </c>
      <c r="D93" s="48">
        <v>38.53</v>
      </c>
      <c r="E93" s="54">
        <v>71.33</v>
      </c>
      <c r="F93" s="54">
        <v>113.51</v>
      </c>
      <c r="G93" s="54">
        <v>143.77000000000001</v>
      </c>
      <c r="I93" s="50">
        <v>71.33</v>
      </c>
      <c r="J93" s="50">
        <v>186.35</v>
      </c>
      <c r="K93" s="50">
        <v>276.17</v>
      </c>
      <c r="L93" s="50">
        <v>388.67</v>
      </c>
      <c r="M93" s="50">
        <v>359.73</v>
      </c>
      <c r="N93" s="57"/>
    </row>
    <row r="94" spans="1:14">
      <c r="A94" s="51">
        <v>90</v>
      </c>
      <c r="B94" s="51" t="s">
        <v>600</v>
      </c>
      <c r="C94" s="54">
        <v>25.24</v>
      </c>
      <c r="D94" s="48">
        <v>31.71</v>
      </c>
      <c r="E94" s="54">
        <v>58.71</v>
      </c>
      <c r="F94" s="54">
        <v>94.3</v>
      </c>
      <c r="G94" s="54">
        <v>151.34</v>
      </c>
      <c r="I94" s="50">
        <v>58.71</v>
      </c>
      <c r="J94" s="50">
        <v>254.92</v>
      </c>
      <c r="K94" s="50">
        <v>308.58</v>
      </c>
      <c r="L94" s="50">
        <v>438.63</v>
      </c>
      <c r="M94" s="50">
        <v>481.5</v>
      </c>
      <c r="N94" s="57"/>
    </row>
    <row r="95" spans="1:14">
      <c r="A95" s="51">
        <v>91</v>
      </c>
      <c r="B95" s="51" t="s">
        <v>109</v>
      </c>
      <c r="C95" s="48">
        <v>15.22</v>
      </c>
      <c r="D95" s="48">
        <v>43.03</v>
      </c>
      <c r="E95" s="54">
        <v>76.67</v>
      </c>
      <c r="F95" s="54">
        <v>135.79</v>
      </c>
      <c r="G95" s="54">
        <v>152.5</v>
      </c>
      <c r="I95" s="50">
        <v>76.67</v>
      </c>
      <c r="J95" s="50">
        <v>166.62</v>
      </c>
      <c r="K95" s="50">
        <v>303.77999999999997</v>
      </c>
      <c r="L95" s="50">
        <v>269.95999999999998</v>
      </c>
      <c r="M95" s="50">
        <v>431.37</v>
      </c>
      <c r="N95" s="57"/>
    </row>
    <row r="96" spans="1:14">
      <c r="A96" s="51">
        <v>92</v>
      </c>
      <c r="B96" s="51" t="s">
        <v>601</v>
      </c>
      <c r="C96" s="50">
        <v>21.69</v>
      </c>
      <c r="D96" s="48">
        <v>39.64</v>
      </c>
      <c r="E96" s="54">
        <v>57.58</v>
      </c>
      <c r="F96" s="54">
        <v>112.66</v>
      </c>
      <c r="G96" s="54">
        <v>145.41999999999999</v>
      </c>
      <c r="I96" s="50">
        <v>57.58</v>
      </c>
      <c r="J96" s="50">
        <v>183.73</v>
      </c>
      <c r="K96" s="50">
        <v>276.05</v>
      </c>
      <c r="L96" s="50">
        <v>389.35</v>
      </c>
      <c r="M96" s="50">
        <v>208.33</v>
      </c>
      <c r="N96" s="57"/>
    </row>
    <row r="97" spans="1:14">
      <c r="A97" s="51">
        <v>93</v>
      </c>
      <c r="B97" s="51" t="s">
        <v>602</v>
      </c>
      <c r="C97" s="50">
        <v>19.03</v>
      </c>
      <c r="D97" s="48">
        <v>35.840000000000003</v>
      </c>
      <c r="E97" s="54">
        <v>85.22</v>
      </c>
      <c r="F97" s="54">
        <v>127.04</v>
      </c>
      <c r="G97" s="54">
        <v>135.77000000000001</v>
      </c>
      <c r="I97" s="50">
        <v>85.22</v>
      </c>
      <c r="J97" s="50">
        <v>164.74</v>
      </c>
      <c r="K97" s="50">
        <v>213.83</v>
      </c>
      <c r="L97" s="50">
        <v>403.28</v>
      </c>
      <c r="M97" s="50">
        <v>295.39</v>
      </c>
      <c r="N97" s="57"/>
    </row>
    <row r="98" spans="1:14">
      <c r="A98" s="51">
        <v>94</v>
      </c>
      <c r="B98" s="51" t="s">
        <v>603</v>
      </c>
      <c r="C98" s="54">
        <v>18.100000000000001</v>
      </c>
      <c r="D98" s="48">
        <v>53.94</v>
      </c>
      <c r="E98" s="54">
        <v>70.849999999999994</v>
      </c>
      <c r="F98" s="54">
        <v>119.44</v>
      </c>
      <c r="G98" s="54">
        <v>103.09</v>
      </c>
      <c r="I98" s="50">
        <v>70.849999999999994</v>
      </c>
      <c r="J98" s="50">
        <v>124.73</v>
      </c>
      <c r="K98" s="50">
        <v>273.19</v>
      </c>
      <c r="L98" s="50">
        <v>363.22</v>
      </c>
      <c r="M98" s="50">
        <v>401.09</v>
      </c>
      <c r="N98" s="57"/>
    </row>
    <row r="99" spans="1:14">
      <c r="A99" s="51">
        <v>95</v>
      </c>
      <c r="B99" s="51" t="s">
        <v>604</v>
      </c>
      <c r="C99" s="54">
        <v>18.71</v>
      </c>
      <c r="D99" s="48">
        <v>50.1</v>
      </c>
      <c r="E99" s="54">
        <v>81.02</v>
      </c>
      <c r="F99" s="54">
        <v>104.62</v>
      </c>
      <c r="G99" s="54">
        <v>146.24</v>
      </c>
      <c r="I99" s="50">
        <v>81.02</v>
      </c>
      <c r="J99" s="50">
        <v>180.83</v>
      </c>
      <c r="K99" s="50">
        <v>335.5</v>
      </c>
      <c r="L99" s="50">
        <v>323.32</v>
      </c>
      <c r="M99" s="50">
        <v>303.69</v>
      </c>
      <c r="N99" s="57"/>
    </row>
    <row r="100" spans="1:14">
      <c r="A100" s="51">
        <v>96</v>
      </c>
      <c r="B100" s="51" t="s">
        <v>605</v>
      </c>
      <c r="C100" s="50">
        <v>8.23</v>
      </c>
      <c r="D100" s="54">
        <v>60.12</v>
      </c>
      <c r="E100" s="54">
        <v>46.39</v>
      </c>
      <c r="F100" s="54">
        <v>84.64</v>
      </c>
      <c r="G100" s="54">
        <v>137.53</v>
      </c>
      <c r="I100" s="50">
        <v>46.39</v>
      </c>
      <c r="J100" s="50">
        <v>207.85</v>
      </c>
      <c r="K100" s="50">
        <v>216.07</v>
      </c>
      <c r="L100" s="50">
        <v>158.56</v>
      </c>
      <c r="M100" s="54">
        <f>269.77</f>
        <v>269.77</v>
      </c>
      <c r="N100" s="57"/>
    </row>
    <row r="101" spans="1:14">
      <c r="A101" s="51">
        <v>97</v>
      </c>
      <c r="B101" s="51" t="s">
        <v>606</v>
      </c>
      <c r="C101" s="48">
        <v>9.41</v>
      </c>
      <c r="D101" s="48">
        <v>18.8</v>
      </c>
      <c r="E101" s="54">
        <v>78.760000000000005</v>
      </c>
      <c r="F101" s="54">
        <v>98.04</v>
      </c>
      <c r="G101" s="54">
        <v>144.06</v>
      </c>
      <c r="I101" s="50">
        <v>78.760000000000005</v>
      </c>
      <c r="J101" s="50">
        <v>137.33000000000001</v>
      </c>
      <c r="K101" s="50">
        <v>236.76</v>
      </c>
      <c r="L101" s="54">
        <v>431.15</v>
      </c>
      <c r="M101" s="50">
        <v>403.46</v>
      </c>
      <c r="N101" s="57"/>
    </row>
    <row r="102" spans="1:14">
      <c r="A102" s="51">
        <v>98</v>
      </c>
      <c r="B102" s="51" t="s">
        <v>607</v>
      </c>
      <c r="C102" s="50">
        <v>14.65</v>
      </c>
      <c r="D102" s="48">
        <v>24.33</v>
      </c>
      <c r="E102" s="54">
        <v>77.739999999999995</v>
      </c>
      <c r="F102" s="54">
        <v>100.05</v>
      </c>
      <c r="G102" s="54">
        <v>148.82</v>
      </c>
      <c r="I102" s="50">
        <v>77.739999999999995</v>
      </c>
      <c r="J102" s="50">
        <v>115.12</v>
      </c>
      <c r="K102" s="50">
        <v>207.13</v>
      </c>
      <c r="L102" s="50">
        <v>366.7</v>
      </c>
      <c r="M102" s="54">
        <f>304.32</f>
        <v>304.32</v>
      </c>
      <c r="N102" s="57"/>
    </row>
    <row r="103" spans="1:14">
      <c r="A103" s="51">
        <v>99</v>
      </c>
      <c r="B103" s="51" t="s">
        <v>608</v>
      </c>
      <c r="C103" s="50">
        <v>15.32</v>
      </c>
      <c r="D103" s="48">
        <v>45</v>
      </c>
      <c r="E103" s="54">
        <v>68.489999999999995</v>
      </c>
      <c r="F103" s="54">
        <v>113.86</v>
      </c>
      <c r="G103" s="54">
        <v>143.26</v>
      </c>
      <c r="I103" s="50">
        <v>68.489999999999995</v>
      </c>
      <c r="J103" s="50">
        <v>178.5</v>
      </c>
      <c r="K103" s="50">
        <v>298.02</v>
      </c>
      <c r="L103" s="50">
        <v>397.35</v>
      </c>
      <c r="M103" s="50">
        <v>419.35</v>
      </c>
      <c r="N103" s="57"/>
    </row>
    <row r="104" spans="1:14">
      <c r="A104" s="51">
        <v>100</v>
      </c>
      <c r="B104" s="51" t="s">
        <v>121</v>
      </c>
      <c r="C104" s="48">
        <v>13.35</v>
      </c>
      <c r="D104" s="48">
        <v>35.880000000000003</v>
      </c>
      <c r="E104" s="54">
        <v>81.040000000000006</v>
      </c>
      <c r="F104" s="54">
        <v>136.84</v>
      </c>
      <c r="G104" s="54">
        <v>170.02</v>
      </c>
      <c r="I104" s="50">
        <v>81.040000000000006</v>
      </c>
      <c r="J104" s="50">
        <v>231.1</v>
      </c>
      <c r="K104" s="50">
        <v>309.52999999999997</v>
      </c>
      <c r="L104" s="50">
        <v>304.67</v>
      </c>
      <c r="M104" s="50">
        <v>527.44000000000005</v>
      </c>
      <c r="N104" s="57"/>
    </row>
    <row r="105" spans="1:14">
      <c r="C105" s="48"/>
      <c r="D105" s="48"/>
      <c r="E105" s="48"/>
      <c r="F105" s="48"/>
      <c r="G105" s="48"/>
    </row>
    <row r="106" spans="1:14">
      <c r="C106" s="48"/>
      <c r="D106" s="48"/>
      <c r="E106" s="48"/>
      <c r="F106" s="48"/>
      <c r="G106" s="48"/>
    </row>
    <row r="107" spans="1:14">
      <c r="C107" s="48"/>
      <c r="D107" s="48"/>
      <c r="E107" s="48"/>
      <c r="F107" s="48"/>
      <c r="G107" s="48"/>
    </row>
    <row r="108" spans="1:14"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</row>
    <row r="109" spans="1:14">
      <c r="C109" s="48"/>
      <c r="D109" s="48"/>
      <c r="E109" s="48"/>
      <c r="F109" s="48"/>
      <c r="G109" s="48"/>
      <c r="H109" s="48"/>
      <c r="I109" s="47"/>
      <c r="J109" s="47"/>
      <c r="K109" s="47"/>
      <c r="L109" s="47"/>
      <c r="M109" s="47"/>
    </row>
  </sheetData>
  <mergeCells count="3">
    <mergeCell ref="C3:G3"/>
    <mergeCell ref="I3:M3"/>
    <mergeCell ref="A1:M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9844C-F001-1D42-95DE-153A52D58100}">
  <dimension ref="A1:U108"/>
  <sheetViews>
    <sheetView zoomScale="112" zoomScaleNormal="81" workbookViewId="0">
      <selection activeCell="H12" sqref="H12"/>
    </sheetView>
  </sheetViews>
  <sheetFormatPr baseColWidth="10" defaultRowHeight="20"/>
  <cols>
    <col min="1" max="1" width="14.5703125" customWidth="1"/>
    <col min="2" max="2" width="15.85546875" bestFit="1" customWidth="1"/>
    <col min="3" max="7" width="18.7109375" customWidth="1"/>
    <col min="8" max="8" width="14.140625" customWidth="1"/>
    <col min="9" max="13" width="18.7109375" customWidth="1"/>
  </cols>
  <sheetData>
    <row r="1" spans="1:14">
      <c r="A1" s="81" t="s">
        <v>626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>
      <c r="A3" s="20"/>
      <c r="B3" s="20"/>
      <c r="C3" s="82" t="s">
        <v>624</v>
      </c>
      <c r="D3" s="82"/>
      <c r="E3" s="82"/>
      <c r="F3" s="82"/>
      <c r="G3" s="82"/>
      <c r="I3" s="82" t="s">
        <v>625</v>
      </c>
      <c r="J3" s="82"/>
      <c r="K3" s="82"/>
      <c r="L3" s="82"/>
      <c r="M3" s="82"/>
    </row>
    <row r="4" spans="1:14">
      <c r="A4" s="61" t="s">
        <v>537</v>
      </c>
      <c r="B4" s="61" t="s">
        <v>538</v>
      </c>
      <c r="C4" s="61" t="s">
        <v>516</v>
      </c>
      <c r="D4" s="61" t="s">
        <v>515</v>
      </c>
      <c r="E4" s="61" t="s">
        <v>514</v>
      </c>
      <c r="F4" s="61" t="s">
        <v>513</v>
      </c>
      <c r="G4" s="61" t="s">
        <v>512</v>
      </c>
      <c r="I4" s="62" t="s">
        <v>616</v>
      </c>
      <c r="J4" s="62" t="s">
        <v>617</v>
      </c>
      <c r="K4" s="62" t="s">
        <v>618</v>
      </c>
      <c r="L4" s="62" t="s">
        <v>619</v>
      </c>
      <c r="M4" s="62" t="s">
        <v>620</v>
      </c>
      <c r="N4" s="57"/>
    </row>
    <row r="5" spans="1:14">
      <c r="A5" s="51">
        <v>1</v>
      </c>
      <c r="B5" s="27" t="s">
        <v>609</v>
      </c>
      <c r="C5" s="48">
        <f>189022208/1000000000</f>
        <v>0.189022208</v>
      </c>
      <c r="D5" s="47">
        <f>430833664/1000000000</f>
        <v>0.43083366400000001</v>
      </c>
      <c r="E5" s="47">
        <f>777895936/1000000000</f>
        <v>0.77789593599999995</v>
      </c>
      <c r="F5" s="47">
        <f>755023872/1000000000</f>
        <v>0.75502387199999998</v>
      </c>
      <c r="G5" s="47">
        <f>565116928/1000000000</f>
        <v>0.56511692800000002</v>
      </c>
      <c r="I5" s="49">
        <v>0.77789593599999995</v>
      </c>
      <c r="J5" s="47">
        <f>932331520/1000000000</f>
        <v>0.93233151999999997</v>
      </c>
      <c r="K5" s="47">
        <f>866697216/1000000000</f>
        <v>0.86669721600000005</v>
      </c>
      <c r="L5" s="47">
        <f>1020035072/1000000000</f>
        <v>1.020035072</v>
      </c>
      <c r="M5" s="47">
        <f>840007680/1000000000</f>
        <v>0.84000768000000003</v>
      </c>
      <c r="N5" s="57"/>
    </row>
    <row r="6" spans="1:14">
      <c r="A6" s="51">
        <v>2</v>
      </c>
      <c r="B6" s="27" t="s">
        <v>528</v>
      </c>
      <c r="C6" s="47">
        <f>278216704/1000000000</f>
        <v>0.27821670399999998</v>
      </c>
      <c r="D6" s="47">
        <f>302252032/1000000000</f>
        <v>0.302252032</v>
      </c>
      <c r="E6" s="48">
        <f>878657536/1000000000</f>
        <v>0.87865753599999996</v>
      </c>
      <c r="F6" s="47">
        <f>623607808/1000000000</f>
        <v>0.62360780800000004</v>
      </c>
      <c r="G6" s="47">
        <f>1070301184/1000000000</f>
        <v>1.0703011840000001</v>
      </c>
      <c r="I6" s="58">
        <v>0.87865753599999996</v>
      </c>
      <c r="J6" s="50">
        <f>832978944/1000000000</f>
        <v>0.83297894400000005</v>
      </c>
      <c r="K6" s="47">
        <f>785301504/1000000000</f>
        <v>0.78530150399999998</v>
      </c>
      <c r="L6" s="47">
        <f>982859776/1000000000</f>
        <v>0.98285977599999996</v>
      </c>
      <c r="M6" s="50">
        <f>849838080/1000000000</f>
        <v>0.84983808000000005</v>
      </c>
      <c r="N6" s="57"/>
    </row>
    <row r="7" spans="1:14">
      <c r="A7" s="51">
        <v>3</v>
      </c>
      <c r="B7" s="27" t="s">
        <v>527</v>
      </c>
      <c r="C7" s="48">
        <f>398409728/1000000000</f>
        <v>0.39840972800000002</v>
      </c>
      <c r="D7" s="47">
        <f>756596736/1000000000</f>
        <v>0.75659673599999999</v>
      </c>
      <c r="E7" s="47">
        <f>562610176/1000000000</f>
        <v>0.56261017599999996</v>
      </c>
      <c r="F7" s="47">
        <f>648282112/1000000000</f>
        <v>0.64828211199999997</v>
      </c>
      <c r="G7" s="47">
        <f>805437440/1000000000</f>
        <v>0.80543743999999995</v>
      </c>
      <c r="I7" s="49">
        <v>0.56261017599999996</v>
      </c>
      <c r="J7" s="47">
        <f>806944768/1000000000</f>
        <v>0.80694476800000003</v>
      </c>
      <c r="K7" s="47">
        <f>1123844096/1000000000</f>
        <v>1.123844096</v>
      </c>
      <c r="L7" s="47">
        <f>1023590400/1000000000</f>
        <v>1.0235904</v>
      </c>
      <c r="M7" s="47">
        <f>1025835008/1000000000</f>
        <v>1.025835008</v>
      </c>
      <c r="N7" s="57"/>
    </row>
    <row r="8" spans="1:14">
      <c r="A8" s="51">
        <v>4</v>
      </c>
      <c r="B8" s="27" t="s">
        <v>526</v>
      </c>
      <c r="C8" s="47">
        <f>363003904/1000000000</f>
        <v>0.36300390399999999</v>
      </c>
      <c r="D8" s="47">
        <f>537477120/1000000000</f>
        <v>0.53747712000000003</v>
      </c>
      <c r="E8" s="47">
        <f>589725696/1000000000</f>
        <v>0.58972569600000002</v>
      </c>
      <c r="F8" s="54">
        <f>1056735232/1000000000</f>
        <v>1.0567352320000001</v>
      </c>
      <c r="G8" s="47">
        <f>665993216/1000000000</f>
        <v>0.66599321600000005</v>
      </c>
      <c r="I8" s="49">
        <v>0.58972569600000002</v>
      </c>
      <c r="J8" s="50">
        <f>890437632/1000000000</f>
        <v>0.89043763200000003</v>
      </c>
      <c r="K8" s="47">
        <f>1114800128/1000000000</f>
        <v>1.1148001279999999</v>
      </c>
      <c r="L8" s="47">
        <f>1136787456/1000000000</f>
        <v>1.136787456</v>
      </c>
      <c r="M8" s="47">
        <f>869679104/1000000000</f>
        <v>0.86967910400000004</v>
      </c>
      <c r="N8" s="57"/>
    </row>
    <row r="9" spans="1:14">
      <c r="A9" s="51">
        <v>5</v>
      </c>
      <c r="B9" s="27" t="s">
        <v>525</v>
      </c>
      <c r="C9" s="48">
        <f>203751424/1000000000</f>
        <v>0.20375142399999999</v>
      </c>
      <c r="D9" s="47">
        <f>364150784/1000000000</f>
        <v>0.36415078400000001</v>
      </c>
      <c r="E9" s="47">
        <f>635682816/1000000000</f>
        <v>0.63568281599999998</v>
      </c>
      <c r="F9" s="54">
        <f>1050443776/1000000000</f>
        <v>1.0504437760000001</v>
      </c>
      <c r="G9" s="54">
        <f>1086652416/1000000000</f>
        <v>1.086652416</v>
      </c>
      <c r="I9" s="49">
        <v>0.63568281599999998</v>
      </c>
      <c r="J9" s="50">
        <f>908689408/1000000000</f>
        <v>0.90868940799999998</v>
      </c>
      <c r="K9" s="47">
        <f>925499392/1000000000</f>
        <v>0.92549939199999998</v>
      </c>
      <c r="L9" s="47">
        <f>1141522432/1000000000</f>
        <v>1.1415224319999999</v>
      </c>
      <c r="M9" s="50">
        <f>896483328/1000000000</f>
        <v>0.89648332799999997</v>
      </c>
      <c r="N9" s="57"/>
    </row>
    <row r="10" spans="1:14">
      <c r="A10" s="51">
        <v>6</v>
      </c>
      <c r="B10" s="27" t="s">
        <v>524</v>
      </c>
      <c r="C10" s="47">
        <f>188317696/1000000000</f>
        <v>0.18831769600000001</v>
      </c>
      <c r="D10" s="47">
        <f>200671232/1000000000</f>
        <v>0.200671232</v>
      </c>
      <c r="E10" s="47">
        <f>567377920/1000000000</f>
        <v>0.56737791999999998</v>
      </c>
      <c r="F10" s="47">
        <f>644235264/1000000000</f>
        <v>0.64423526399999997</v>
      </c>
      <c r="G10" s="47">
        <f>1094287360/1000000000</f>
        <v>1.09428736</v>
      </c>
      <c r="I10" s="49">
        <v>0.56737791999999998</v>
      </c>
      <c r="J10" s="50">
        <f>974422016/1000000000</f>
        <v>0.974422016</v>
      </c>
      <c r="K10" s="47">
        <f>963100672/1000000000</f>
        <v>0.96310067200000005</v>
      </c>
      <c r="L10" s="47">
        <f>966295552/1000000000</f>
        <v>0.96629555199999995</v>
      </c>
      <c r="M10" s="47">
        <f>1040384000/1000000000</f>
        <v>1.040384</v>
      </c>
      <c r="N10" s="57"/>
    </row>
    <row r="11" spans="1:14">
      <c r="A11" s="51">
        <v>7</v>
      </c>
      <c r="B11" s="27" t="s">
        <v>523</v>
      </c>
      <c r="C11" s="48">
        <f>249331712/1000000000</f>
        <v>0.24933171200000001</v>
      </c>
      <c r="D11" s="48">
        <f>442105856/1000000000</f>
        <v>0.44210585600000002</v>
      </c>
      <c r="E11" s="47">
        <f>649281536/1000000000</f>
        <v>0.64928153600000005</v>
      </c>
      <c r="F11" s="47">
        <f>634322944/1000000000</f>
        <v>0.634322944</v>
      </c>
      <c r="G11" s="47">
        <f>920928256/1000000000</f>
        <v>0.92092825599999995</v>
      </c>
      <c r="I11" s="49">
        <v>0.64928153600000005</v>
      </c>
      <c r="J11" s="47">
        <f>838172672/1000000000</f>
        <v>0.83817267200000001</v>
      </c>
      <c r="K11" s="47">
        <f>1148977152/1000000000</f>
        <v>1.1489771520000001</v>
      </c>
      <c r="L11" s="47">
        <f>1136787456/1000000000</f>
        <v>1.136787456</v>
      </c>
      <c r="M11" s="47">
        <f>954941440/1000000000</f>
        <v>0.95494144000000003</v>
      </c>
      <c r="N11" s="57"/>
    </row>
    <row r="12" spans="1:14">
      <c r="A12" s="51">
        <v>8</v>
      </c>
      <c r="B12" s="27" t="s">
        <v>522</v>
      </c>
      <c r="C12" s="47">
        <f>195887104/1000000000</f>
        <v>0.19588710400000001</v>
      </c>
      <c r="D12" s="48">
        <f>240386048/1000000000</f>
        <v>0.24038604799999999</v>
      </c>
      <c r="E12" s="47">
        <f>615776256/1000000000</f>
        <v>0.61577625599999997</v>
      </c>
      <c r="F12" s="47">
        <f>738967552/1000000000</f>
        <v>0.73896755199999997</v>
      </c>
      <c r="G12" s="47">
        <f>979681280/1000000000</f>
        <v>0.97968127999999999</v>
      </c>
      <c r="I12" s="49">
        <v>0.61577625599999997</v>
      </c>
      <c r="J12" s="47">
        <f>823279616/1000000000</f>
        <v>0.82327961599999999</v>
      </c>
      <c r="K12" s="47">
        <f>1111490560/1000000000</f>
        <v>1.11149056</v>
      </c>
      <c r="L12" s="47">
        <f>1141522432/1000000000</f>
        <v>1.1415224319999999</v>
      </c>
      <c r="M12" s="47">
        <f>946864128/1000000000</f>
        <v>0.94686412799999997</v>
      </c>
      <c r="N12" s="57"/>
    </row>
    <row r="13" spans="1:14">
      <c r="A13" s="51">
        <v>9</v>
      </c>
      <c r="B13" s="27" t="s">
        <v>521</v>
      </c>
      <c r="C13" s="47">
        <f>195805184/1000000000</f>
        <v>0.19580518399999999</v>
      </c>
      <c r="D13" s="47">
        <f>531955712/1000000000</f>
        <v>0.53195571200000002</v>
      </c>
      <c r="E13" s="47">
        <f>618987520/1000000000</f>
        <v>0.61898752000000001</v>
      </c>
      <c r="F13" s="54">
        <f>910098432/1000000000</f>
        <v>0.91009843199999996</v>
      </c>
      <c r="G13" s="47">
        <f>871694336/1000000000</f>
        <v>0.87169433600000001</v>
      </c>
      <c r="I13" s="49">
        <v>0.61898752000000001</v>
      </c>
      <c r="J13" s="47">
        <f>796459008/1000000000</f>
        <v>0.79645900800000002</v>
      </c>
      <c r="K13" s="47">
        <f>949403648/1000000000</f>
        <v>0.94940364799999999</v>
      </c>
      <c r="L13" s="47">
        <f>966295552/1000000000</f>
        <v>0.96629555199999995</v>
      </c>
      <c r="M13" s="47">
        <f>904003584/1000000000</f>
        <v>0.90400358400000003</v>
      </c>
      <c r="N13" s="57"/>
    </row>
    <row r="14" spans="1:14">
      <c r="A14" s="51">
        <v>10</v>
      </c>
      <c r="B14" s="27" t="s">
        <v>520</v>
      </c>
      <c r="C14" s="47">
        <f>178700288/1000000000</f>
        <v>0.17870028800000001</v>
      </c>
      <c r="D14" s="47">
        <f>376799232/1000000000</f>
        <v>0.37679923199999998</v>
      </c>
      <c r="E14" s="47">
        <f>551174144/1000000000</f>
        <v>0.55117414399999998</v>
      </c>
      <c r="F14" s="47">
        <f>798932992/1000000000</f>
        <v>0.79893299200000001</v>
      </c>
      <c r="G14" s="54">
        <f>1117667328/1000000000</f>
        <v>1.117667328</v>
      </c>
      <c r="I14" s="49">
        <v>0.55117414399999998</v>
      </c>
      <c r="J14" s="50">
        <f>831602688/1000000000</f>
        <v>0.83160268800000003</v>
      </c>
      <c r="K14" s="47">
        <f>1065910272/1000000000</f>
        <v>1.065910272</v>
      </c>
      <c r="L14" s="47">
        <f>1045495808/1000000000</f>
        <v>1.0454958080000001</v>
      </c>
      <c r="M14" s="47">
        <f>945094656/1000000000</f>
        <v>0.94509465599999998</v>
      </c>
      <c r="N14" s="57"/>
    </row>
    <row r="15" spans="1:14">
      <c r="A15" s="51">
        <v>11</v>
      </c>
      <c r="B15" s="51" t="s">
        <v>13</v>
      </c>
      <c r="C15" s="48">
        <f>427147264/1000000000</f>
        <v>0.42714726400000003</v>
      </c>
      <c r="D15" s="54">
        <f>750600192/1000000000</f>
        <v>0.75060019200000005</v>
      </c>
      <c r="E15" s="54">
        <v>0.94822399999999996</v>
      </c>
      <c r="F15" s="54">
        <v>1.0045849600000001</v>
      </c>
      <c r="G15" s="54">
        <v>1.0339778559999999</v>
      </c>
      <c r="I15" s="50">
        <v>0.94822399999999996</v>
      </c>
      <c r="J15" s="50">
        <v>1.0215915520000001</v>
      </c>
      <c r="K15" s="50">
        <v>1.0013409280000001</v>
      </c>
      <c r="L15" s="50">
        <v>1.0204774400000001</v>
      </c>
      <c r="M15" s="50">
        <v>1.005355008</v>
      </c>
      <c r="N15" s="57"/>
    </row>
    <row r="16" spans="1:14">
      <c r="A16" s="51">
        <v>12</v>
      </c>
      <c r="B16" s="51" t="s">
        <v>14</v>
      </c>
      <c r="C16" s="48">
        <f>244891648/1000000000</f>
        <v>0.24489164799999999</v>
      </c>
      <c r="D16" s="54">
        <v>0.577716224</v>
      </c>
      <c r="E16" s="54">
        <v>0.95330303999999999</v>
      </c>
      <c r="F16" s="54">
        <v>0.950976512</v>
      </c>
      <c r="G16" s="54">
        <v>1.040203776</v>
      </c>
      <c r="I16" s="50">
        <v>0.95330303999999999</v>
      </c>
      <c r="J16" s="50">
        <v>1.062273024</v>
      </c>
      <c r="K16" s="50">
        <v>1.1414241279999999</v>
      </c>
      <c r="L16" s="50">
        <v>1.063583744</v>
      </c>
      <c r="M16" s="50">
        <v>1.0877501439999999</v>
      </c>
      <c r="N16" s="57"/>
    </row>
    <row r="17" spans="1:14">
      <c r="A17" s="51">
        <v>13</v>
      </c>
      <c r="B17" s="51" t="s">
        <v>541</v>
      </c>
      <c r="C17" s="48">
        <f>245334016/1000000000</f>
        <v>0.24533401599999999</v>
      </c>
      <c r="D17" s="54">
        <f>473612288/1000000000</f>
        <v>0.47361228799999999</v>
      </c>
      <c r="E17" s="54">
        <v>0.90998374400000004</v>
      </c>
      <c r="F17" s="54">
        <v>0.95641600000000004</v>
      </c>
      <c r="G17" s="54">
        <v>1.0522787840000001</v>
      </c>
      <c r="I17" s="50">
        <v>0.90998374400000004</v>
      </c>
      <c r="J17" s="54">
        <v>0.91122892799999999</v>
      </c>
      <c r="K17" s="50">
        <v>0.95739903999999998</v>
      </c>
      <c r="L17" s="50">
        <v>1.0496573440000001</v>
      </c>
      <c r="M17" s="50">
        <v>1.0864230399999999</v>
      </c>
      <c r="N17" s="57"/>
    </row>
    <row r="18" spans="1:14">
      <c r="A18" s="51">
        <v>14</v>
      </c>
      <c r="B18" s="51" t="s">
        <v>17</v>
      </c>
      <c r="C18" s="48">
        <f>244072448/1000000000</f>
        <v>0.244072448</v>
      </c>
      <c r="D18" s="48">
        <f>364003328/1000000000</f>
        <v>0.36400332800000001</v>
      </c>
      <c r="E18" s="54">
        <v>0.94044159999999999</v>
      </c>
      <c r="F18" s="54">
        <f>877199360/1000000000</f>
        <v>0.87719935999999998</v>
      </c>
      <c r="G18" s="54">
        <v>0.96970342399999998</v>
      </c>
      <c r="I18" s="50">
        <v>0.94044159999999999</v>
      </c>
      <c r="J18" s="50">
        <v>0.97737113600000003</v>
      </c>
      <c r="K18" s="50">
        <v>0.97994342400000001</v>
      </c>
      <c r="L18" s="50">
        <v>0.94275174399999995</v>
      </c>
      <c r="M18" s="50">
        <v>0.98117222400000004</v>
      </c>
      <c r="N18" s="57"/>
    </row>
    <row r="19" spans="1:14">
      <c r="A19" s="51">
        <v>15</v>
      </c>
      <c r="B19" s="51" t="s">
        <v>18</v>
      </c>
      <c r="C19" s="48">
        <f>204865536/1000000000</f>
        <v>0.20486553599999999</v>
      </c>
      <c r="D19" s="48">
        <f>216416256/1000000000</f>
        <v>0.216416256</v>
      </c>
      <c r="E19" s="54">
        <v>0.77507788799999999</v>
      </c>
      <c r="F19" s="54">
        <v>1.032994816</v>
      </c>
      <c r="G19" s="54">
        <f>1073381376/1000000000</f>
        <v>1.0733813759999999</v>
      </c>
      <c r="I19" s="50">
        <v>0.77507788799999999</v>
      </c>
      <c r="J19" s="50">
        <v>0.99786752000000001</v>
      </c>
      <c r="K19" s="50">
        <v>1.1025448959999999</v>
      </c>
      <c r="L19" s="50">
        <v>1.137721344</v>
      </c>
      <c r="M19" s="50">
        <f>1.121140736</f>
        <v>1.1211407360000001</v>
      </c>
      <c r="N19" s="59"/>
    </row>
    <row r="20" spans="1:14">
      <c r="A20" s="51">
        <v>16</v>
      </c>
      <c r="B20" s="51" t="s">
        <v>19</v>
      </c>
      <c r="C20" s="48">
        <f>272236544/1000000000</f>
        <v>0.27223654400000002</v>
      </c>
      <c r="D20" s="48">
        <f>558825472/1000000000</f>
        <v>0.55882547199999999</v>
      </c>
      <c r="E20" s="54">
        <v>0.80370073600000003</v>
      </c>
      <c r="F20" s="54">
        <v>0.95638323199999997</v>
      </c>
      <c r="G20" s="54">
        <v>1.006354432</v>
      </c>
      <c r="I20" s="50">
        <v>0.80370073600000003</v>
      </c>
      <c r="J20" s="50">
        <v>1.1057397760000001</v>
      </c>
      <c r="K20" s="50">
        <v>1.0442997759999999</v>
      </c>
      <c r="L20" s="50">
        <v>1.03645184</v>
      </c>
      <c r="M20" s="50">
        <v>0.97976319999999995</v>
      </c>
      <c r="N20" s="57"/>
    </row>
    <row r="21" spans="1:14">
      <c r="A21" s="51">
        <v>17</v>
      </c>
      <c r="B21" s="51" t="s">
        <v>22</v>
      </c>
      <c r="C21" s="48">
        <f>194281472/1000000000</f>
        <v>0.19428147200000001</v>
      </c>
      <c r="D21" s="47">
        <f>425459712/1000000000</f>
        <v>0.42545971199999999</v>
      </c>
      <c r="E21" s="54">
        <v>0.79675392</v>
      </c>
      <c r="F21" s="54">
        <v>0.80979558399999996</v>
      </c>
      <c r="G21" s="54">
        <v>0.86595993599999999</v>
      </c>
      <c r="I21" s="50">
        <v>0.79675392</v>
      </c>
      <c r="J21" s="50">
        <v>0.88229478400000005</v>
      </c>
      <c r="K21" s="50">
        <v>1.026195456</v>
      </c>
      <c r="L21" s="50">
        <v>1.017315328</v>
      </c>
      <c r="M21" s="50">
        <v>0.94504550399999998</v>
      </c>
      <c r="N21" s="57"/>
    </row>
    <row r="22" spans="1:14">
      <c r="A22" s="51">
        <v>18</v>
      </c>
      <c r="B22" s="51" t="s">
        <v>24</v>
      </c>
      <c r="C22" s="48">
        <f>185122816/1000000000</f>
        <v>0.185122816</v>
      </c>
      <c r="D22" s="47">
        <f>660209664/1000000000</f>
        <v>0.66020966400000003</v>
      </c>
      <c r="E22" s="54">
        <v>0.93165977600000005</v>
      </c>
      <c r="F22" s="54">
        <v>0.84135116799999998</v>
      </c>
      <c r="G22" s="54">
        <v>0.95653068799999996</v>
      </c>
      <c r="I22" s="50">
        <v>0.93165977600000005</v>
      </c>
      <c r="J22" s="50">
        <v>1.0086481920000001</v>
      </c>
      <c r="K22" s="50">
        <v>1.061863424</v>
      </c>
      <c r="L22" s="50">
        <v>1.0302095360000001</v>
      </c>
      <c r="M22" s="50">
        <v>1.020657664</v>
      </c>
      <c r="N22" s="57"/>
    </row>
    <row r="23" spans="1:14">
      <c r="A23" s="51">
        <v>19</v>
      </c>
      <c r="B23" s="51" t="s">
        <v>25</v>
      </c>
      <c r="C23" s="48">
        <f>228409344/1000000000</f>
        <v>0.22840934399999999</v>
      </c>
      <c r="D23" s="47">
        <v>0.41366323199999999</v>
      </c>
      <c r="E23" s="54">
        <f>827277312/1000000000</f>
        <v>0.82727731199999999</v>
      </c>
      <c r="F23" s="54">
        <v>1.057210368</v>
      </c>
      <c r="G23" s="54">
        <v>0.91817574400000002</v>
      </c>
      <c r="I23" s="50">
        <v>0.82727731199999999</v>
      </c>
      <c r="J23" s="50">
        <v>0.806273024</v>
      </c>
      <c r="K23" s="50">
        <v>1.025916928</v>
      </c>
      <c r="L23" s="50">
        <v>1.0399416319999999</v>
      </c>
      <c r="M23" s="50">
        <v>1.033125888</v>
      </c>
      <c r="N23" s="57"/>
    </row>
    <row r="24" spans="1:14">
      <c r="A24" s="51">
        <v>20</v>
      </c>
      <c r="B24" s="51" t="s">
        <v>27</v>
      </c>
      <c r="C24" s="48">
        <f>741113856/1000000000</f>
        <v>0.74111385600000002</v>
      </c>
      <c r="D24" s="47">
        <f>801341440/1000000000</f>
        <v>0.80134143999999996</v>
      </c>
      <c r="E24" s="54">
        <f>849543168/1000000000</f>
        <v>0.84954316799999996</v>
      </c>
      <c r="F24" s="54">
        <v>0.994574336</v>
      </c>
      <c r="G24" s="54">
        <v>1.00859904</v>
      </c>
      <c r="I24" s="50">
        <v>0.84954316799999996</v>
      </c>
      <c r="J24" s="50">
        <v>0.55813734400000004</v>
      </c>
      <c r="K24" s="50">
        <v>0.97617510399999996</v>
      </c>
      <c r="L24" s="50">
        <v>1.1759288320000001</v>
      </c>
      <c r="M24" s="50">
        <v>1.1137679359999999</v>
      </c>
      <c r="N24" s="57"/>
    </row>
    <row r="25" spans="1:14">
      <c r="A25" s="51">
        <v>21</v>
      </c>
      <c r="B25" s="51" t="s">
        <v>28</v>
      </c>
      <c r="C25" s="48">
        <f>165838848/1000000000</f>
        <v>0.16583884800000001</v>
      </c>
      <c r="D25" s="47">
        <v>0.48165683199999998</v>
      </c>
      <c r="E25" s="54">
        <v>0.79110144000000004</v>
      </c>
      <c r="F25" s="54">
        <v>0.99444326400000005</v>
      </c>
      <c r="G25" s="54">
        <v>0.973258752</v>
      </c>
      <c r="I25" s="50">
        <v>0.79110144000000004</v>
      </c>
      <c r="J25" s="50">
        <v>0.817053696</v>
      </c>
      <c r="K25" s="50">
        <v>0.94350540800000005</v>
      </c>
      <c r="L25" s="50">
        <v>1.0015866879999999</v>
      </c>
      <c r="M25" s="50">
        <v>1.070563328</v>
      </c>
      <c r="N25" s="57"/>
    </row>
    <row r="26" spans="1:14">
      <c r="A26" s="51">
        <v>22</v>
      </c>
      <c r="B26" s="51" t="s">
        <v>29</v>
      </c>
      <c r="C26" s="48">
        <f>220053504/1000000000</f>
        <v>0.22005350400000001</v>
      </c>
      <c r="D26" s="47">
        <v>0.545767424</v>
      </c>
      <c r="E26" s="54">
        <v>0.89515622399999994</v>
      </c>
      <c r="F26" s="54">
        <v>0.83602636799999996</v>
      </c>
      <c r="G26" s="54">
        <v>0.98648064000000002</v>
      </c>
      <c r="I26" s="50">
        <v>0.89515622399999994</v>
      </c>
      <c r="J26" s="50">
        <v>0.99703193599999995</v>
      </c>
      <c r="K26" s="50">
        <v>1.046069248</v>
      </c>
      <c r="L26" s="50">
        <v>1.0621911040000001</v>
      </c>
      <c r="M26" s="50">
        <v>1.0471342079999999</v>
      </c>
      <c r="N26" s="57"/>
    </row>
    <row r="27" spans="1:14">
      <c r="A27" s="51">
        <v>23</v>
      </c>
      <c r="B27" s="51" t="s">
        <v>30</v>
      </c>
      <c r="C27" s="48">
        <f>186335232/1000000000</f>
        <v>0.18633523199999999</v>
      </c>
      <c r="D27" s="47">
        <f>393527296/1000000000</f>
        <v>0.39352729600000003</v>
      </c>
      <c r="E27" s="54">
        <f>811302912/1000000000</f>
        <v>0.81130291200000004</v>
      </c>
      <c r="F27" s="54">
        <v>0.88398233599999998</v>
      </c>
      <c r="G27" s="54">
        <v>0.86987571200000002</v>
      </c>
      <c r="I27" s="50">
        <v>0.81130291200000004</v>
      </c>
      <c r="J27" s="50">
        <v>0.93587046399999996</v>
      </c>
      <c r="K27" s="50">
        <v>0.94381670399999995</v>
      </c>
      <c r="L27" s="50">
        <v>1.0459217919999999</v>
      </c>
      <c r="M27" s="50">
        <v>0.912244736</v>
      </c>
      <c r="N27" s="57"/>
    </row>
    <row r="28" spans="1:14">
      <c r="A28" s="51">
        <v>24</v>
      </c>
      <c r="B28" s="51" t="s">
        <v>31</v>
      </c>
      <c r="C28" s="48">
        <f>156925952/1000000000</f>
        <v>0.15692595200000001</v>
      </c>
      <c r="D28" s="47">
        <v>0.64349798400000002</v>
      </c>
      <c r="E28" s="54">
        <v>0.79228108799999997</v>
      </c>
      <c r="F28" s="54">
        <v>0.93514956800000004</v>
      </c>
      <c r="G28" s="54">
        <v>1.042006016</v>
      </c>
      <c r="I28" s="50">
        <v>0.79228108799999997</v>
      </c>
      <c r="J28" s="50">
        <v>0.87076044799999996</v>
      </c>
      <c r="K28" s="50">
        <v>1.024786432</v>
      </c>
      <c r="L28" s="50">
        <v>1.002717184</v>
      </c>
      <c r="M28" s="50">
        <v>1.0450206719999999</v>
      </c>
      <c r="N28" s="57"/>
    </row>
    <row r="29" spans="1:14">
      <c r="A29" s="51">
        <v>25</v>
      </c>
      <c r="B29" s="51" t="s">
        <v>32</v>
      </c>
      <c r="C29" s="48">
        <f>194084864/1000000000</f>
        <v>0.194084864</v>
      </c>
      <c r="D29" s="47">
        <v>0.59323187200000005</v>
      </c>
      <c r="E29" s="54">
        <v>0.71899545600000003</v>
      </c>
      <c r="F29" s="54">
        <v>0.82917785600000005</v>
      </c>
      <c r="G29" s="54">
        <v>0.97702707200000005</v>
      </c>
      <c r="I29" s="50">
        <v>0.71899545600000003</v>
      </c>
      <c r="J29" s="50">
        <v>1.027817472</v>
      </c>
      <c r="K29" s="50">
        <v>0.91987967999999998</v>
      </c>
      <c r="L29" s="50">
        <v>1.0227712</v>
      </c>
      <c r="M29" s="50">
        <v>0.98710323200000005</v>
      </c>
      <c r="N29" s="57"/>
    </row>
    <row r="30" spans="1:14">
      <c r="A30" s="51">
        <v>26</v>
      </c>
      <c r="B30" s="51" t="s">
        <v>33</v>
      </c>
      <c r="C30" s="48">
        <f>335462400/1000000000</f>
        <v>0.33546239999999999</v>
      </c>
      <c r="D30" s="47">
        <f>597082112/1000000000</f>
        <v>0.59708211200000005</v>
      </c>
      <c r="E30" s="54">
        <v>0.73524838400000003</v>
      </c>
      <c r="F30" s="54">
        <v>0.90719846400000004</v>
      </c>
      <c r="G30" s="54">
        <v>1.010532352</v>
      </c>
      <c r="I30" s="50">
        <v>0.73524838400000003</v>
      </c>
      <c r="J30" s="50">
        <v>0.90326630399999996</v>
      </c>
      <c r="K30" s="50">
        <v>0.96272384</v>
      </c>
      <c r="L30" s="50">
        <v>0.962674688</v>
      </c>
      <c r="M30" s="50">
        <v>1.0509516800000001</v>
      </c>
      <c r="N30" s="57"/>
    </row>
    <row r="31" spans="1:14">
      <c r="A31" s="51">
        <v>27</v>
      </c>
      <c r="B31" s="51" t="s">
        <v>35</v>
      </c>
      <c r="C31" s="48">
        <f>269664256/1000000000</f>
        <v>0.26966425599999999</v>
      </c>
      <c r="D31" s="47">
        <v>0.73506815999999997</v>
      </c>
      <c r="E31" s="54">
        <v>0.94222745600000002</v>
      </c>
      <c r="F31" s="54">
        <v>0.87035084799999995</v>
      </c>
      <c r="G31" s="54">
        <v>0.97981235200000005</v>
      </c>
      <c r="I31" s="50">
        <v>0.94222745600000002</v>
      </c>
      <c r="J31" s="50">
        <v>0.94743756800000001</v>
      </c>
      <c r="K31" s="50">
        <v>0.99375513599999998</v>
      </c>
      <c r="L31" s="50">
        <v>0.97283276799999996</v>
      </c>
      <c r="M31" s="50">
        <v>1.062567936</v>
      </c>
      <c r="N31" s="57"/>
    </row>
    <row r="32" spans="1:14">
      <c r="A32" s="51">
        <v>28</v>
      </c>
      <c r="B32" s="51" t="s">
        <v>36</v>
      </c>
      <c r="C32" s="48">
        <f>168869888/1000000000</f>
        <v>0.168869888</v>
      </c>
      <c r="D32" s="47">
        <v>0.37776588799999999</v>
      </c>
      <c r="E32" s="54">
        <f>851296256/1000000000</f>
        <v>0.85129625600000003</v>
      </c>
      <c r="F32" s="54">
        <v>0.87590502400000003</v>
      </c>
      <c r="G32" s="54">
        <f>1069318144/1000000000</f>
        <v>1.0693181439999999</v>
      </c>
      <c r="I32" s="50">
        <v>0.85129625600000003</v>
      </c>
      <c r="J32" s="50">
        <v>0.85683404799999996</v>
      </c>
      <c r="K32" s="50">
        <v>0.98469478399999999</v>
      </c>
      <c r="L32" s="50">
        <v>0.96521420800000002</v>
      </c>
      <c r="M32" s="50">
        <f>1.073135616</f>
        <v>1.0731356160000001</v>
      </c>
      <c r="N32" s="59"/>
    </row>
    <row r="33" spans="1:21">
      <c r="A33" s="51">
        <v>29</v>
      </c>
      <c r="B33" s="51" t="s">
        <v>37</v>
      </c>
      <c r="C33" s="48">
        <f>182075392/1000000000</f>
        <v>0.182075392</v>
      </c>
      <c r="D33" s="47">
        <v>0.75813683200000004</v>
      </c>
      <c r="E33" s="54">
        <v>0.94643814400000004</v>
      </c>
      <c r="F33" s="54">
        <v>0.92802252799999996</v>
      </c>
      <c r="G33" s="54">
        <v>0.97094860800000005</v>
      </c>
      <c r="I33" s="50">
        <v>0.94643814400000004</v>
      </c>
      <c r="J33" s="50">
        <v>0.907788288</v>
      </c>
      <c r="K33" s="50">
        <v>0.95961088000000005</v>
      </c>
      <c r="L33" s="50">
        <v>0.90162790400000004</v>
      </c>
      <c r="M33" s="50">
        <v>0.98208972800000005</v>
      </c>
      <c r="N33" s="57"/>
    </row>
    <row r="34" spans="1:21">
      <c r="A34" s="51">
        <v>30</v>
      </c>
      <c r="B34" s="51" t="s">
        <v>38</v>
      </c>
      <c r="C34" s="48">
        <f>285622272/1000000000</f>
        <v>0.28562227200000001</v>
      </c>
      <c r="D34" s="47">
        <v>0.365412352</v>
      </c>
      <c r="E34" s="54">
        <v>0.80871424000000003</v>
      </c>
      <c r="F34" s="54">
        <v>0.95346688000000002</v>
      </c>
      <c r="G34" s="54">
        <v>1.068056576</v>
      </c>
      <c r="I34" s="50">
        <v>0.80871424000000003</v>
      </c>
      <c r="J34" s="50">
        <v>0.90691993599999998</v>
      </c>
      <c r="K34" s="50">
        <v>1.0226401279999999</v>
      </c>
      <c r="L34" s="50">
        <v>0.92169830399999997</v>
      </c>
      <c r="M34" s="50">
        <v>1.0496573440000001</v>
      </c>
      <c r="N34" s="57"/>
    </row>
    <row r="35" spans="1:21">
      <c r="A35" s="51">
        <v>31</v>
      </c>
      <c r="B35" s="51" t="s">
        <v>39</v>
      </c>
      <c r="C35" s="48">
        <f>235749376/1000000000</f>
        <v>0.23574937600000001</v>
      </c>
      <c r="D35" s="47">
        <f>709476352/1000000000</f>
        <v>0.70947635200000003</v>
      </c>
      <c r="E35" s="54">
        <v>0.91308031999999995</v>
      </c>
      <c r="F35" s="54">
        <v>0.93585408000000003</v>
      </c>
      <c r="G35" s="54">
        <v>1.036632064</v>
      </c>
      <c r="I35" s="50">
        <v>0.91308031999999995</v>
      </c>
      <c r="J35" s="50">
        <v>0.63202918399999997</v>
      </c>
      <c r="K35" s="50">
        <v>1.0035855359999999</v>
      </c>
      <c r="L35" s="50">
        <v>0.96120012799999999</v>
      </c>
      <c r="M35" s="50">
        <v>0.82096947200000003</v>
      </c>
      <c r="N35" s="57"/>
    </row>
    <row r="36" spans="1:21">
      <c r="A36" s="51">
        <v>32</v>
      </c>
      <c r="B36" s="51" t="s">
        <v>40</v>
      </c>
      <c r="C36" s="48">
        <f>213057536/1000000000</f>
        <v>0.21305753599999999</v>
      </c>
      <c r="D36" s="47">
        <v>0.28003532799999997</v>
      </c>
      <c r="E36" s="54">
        <v>0.92453273599999997</v>
      </c>
      <c r="F36" s="54">
        <v>0.90903347199999995</v>
      </c>
      <c r="G36" s="54">
        <v>1.016201216</v>
      </c>
      <c r="I36" s="50">
        <v>0.92453273599999997</v>
      </c>
      <c r="J36" s="50">
        <v>0.94006476800000005</v>
      </c>
      <c r="K36" s="50">
        <v>0.91473510400000002</v>
      </c>
      <c r="L36" s="50">
        <v>0.98210611199999998</v>
      </c>
      <c r="M36" s="50">
        <v>0.91620966400000003</v>
      </c>
      <c r="N36" s="57"/>
    </row>
    <row r="37" spans="1:21">
      <c r="A37" s="51">
        <v>33</v>
      </c>
      <c r="B37" s="51" t="s">
        <v>41</v>
      </c>
      <c r="C37" s="48">
        <f>244383744/1000000000</f>
        <v>0.24438374400000001</v>
      </c>
      <c r="D37" s="47">
        <v>0.348553216</v>
      </c>
      <c r="E37" s="54">
        <v>0.76542771200000004</v>
      </c>
      <c r="F37" s="54">
        <v>0.99326361600000002</v>
      </c>
      <c r="G37" s="54">
        <v>1.0949263359999999</v>
      </c>
      <c r="I37" s="50">
        <v>0.76542771200000004</v>
      </c>
      <c r="J37" s="50">
        <v>0.89278054399999995</v>
      </c>
      <c r="K37" s="50">
        <v>0.97992703999999997</v>
      </c>
      <c r="L37" s="50">
        <v>1.1070504960000001</v>
      </c>
      <c r="M37" s="50">
        <v>1.024802816</v>
      </c>
      <c r="N37" s="57"/>
    </row>
    <row r="38" spans="1:21">
      <c r="A38" s="51">
        <v>34</v>
      </c>
      <c r="B38" s="51" t="s">
        <v>42</v>
      </c>
      <c r="C38" s="48">
        <f>201457664/1000000000</f>
        <v>0.20145766400000001</v>
      </c>
      <c r="D38" s="47">
        <v>0.85105049600000005</v>
      </c>
      <c r="E38" s="54">
        <v>0.906575872</v>
      </c>
      <c r="F38" s="54">
        <v>0.98613657600000004</v>
      </c>
      <c r="G38" s="54">
        <v>1.071579136</v>
      </c>
      <c r="I38" s="50">
        <v>0.906575872</v>
      </c>
      <c r="J38" s="50">
        <v>1.0662707199999999</v>
      </c>
      <c r="K38" s="50">
        <v>0.91996160000000005</v>
      </c>
      <c r="L38" s="50">
        <v>0.99172351999999997</v>
      </c>
      <c r="M38" s="50">
        <v>1.0395484159999999</v>
      </c>
      <c r="N38" s="57"/>
    </row>
    <row r="39" spans="1:21">
      <c r="A39" s="51">
        <v>35</v>
      </c>
      <c r="B39" s="51" t="s">
        <v>43</v>
      </c>
      <c r="C39" s="48">
        <f>189988864/1000000000</f>
        <v>0.18998886400000001</v>
      </c>
      <c r="D39" s="47">
        <v>0.72949759999999997</v>
      </c>
      <c r="E39" s="54">
        <v>0.89014272000000005</v>
      </c>
      <c r="F39" s="54">
        <v>1.0186915839999999</v>
      </c>
      <c r="G39" s="54">
        <v>1.0636165120000001</v>
      </c>
      <c r="I39" s="50">
        <v>0.89014272000000005</v>
      </c>
      <c r="J39" s="50">
        <v>0.813006848</v>
      </c>
      <c r="K39" s="50">
        <v>0.77024460800000005</v>
      </c>
      <c r="L39" s="50">
        <v>1.0281779200000001</v>
      </c>
      <c r="M39" s="50">
        <v>1.097613312</v>
      </c>
      <c r="N39" s="59"/>
    </row>
    <row r="40" spans="1:21">
      <c r="A40" s="51">
        <v>36</v>
      </c>
      <c r="B40" s="51" t="s">
        <v>44</v>
      </c>
      <c r="C40" s="48">
        <f>223887360/1000000000</f>
        <v>0.22388736000000001</v>
      </c>
      <c r="D40" s="47">
        <v>0.28472115199999998</v>
      </c>
      <c r="E40" s="54">
        <v>0.93154508800000002</v>
      </c>
      <c r="F40" s="54">
        <v>1.0104504320000001</v>
      </c>
      <c r="G40" s="54">
        <v>1.0862428159999999</v>
      </c>
      <c r="I40" s="50">
        <v>0.93154508800000002</v>
      </c>
      <c r="J40" s="50">
        <v>0.88126259200000001</v>
      </c>
      <c r="K40" s="50">
        <v>0.99093708800000002</v>
      </c>
      <c r="L40" s="50">
        <v>0.96536166400000001</v>
      </c>
      <c r="M40" s="50">
        <v>0.98977382400000002</v>
      </c>
      <c r="N40" s="57"/>
    </row>
    <row r="41" spans="1:21">
      <c r="A41" s="51">
        <v>37</v>
      </c>
      <c r="B41" s="51" t="s">
        <v>45</v>
      </c>
      <c r="C41" s="48">
        <f>170360832/1000000000</f>
        <v>0.17036083199999999</v>
      </c>
      <c r="D41" s="47">
        <v>0.93895065600000005</v>
      </c>
      <c r="E41" s="54">
        <v>0.90320076800000004</v>
      </c>
      <c r="F41" s="54">
        <v>0.95556403199999995</v>
      </c>
      <c r="G41" s="54">
        <v>0.89451724799999999</v>
      </c>
      <c r="I41" s="50">
        <v>0.90320076800000004</v>
      </c>
      <c r="J41" s="50">
        <v>0.92163276800000005</v>
      </c>
      <c r="K41" s="50">
        <v>0.88716083199999995</v>
      </c>
      <c r="L41" s="50">
        <v>0.96767180799999997</v>
      </c>
      <c r="M41" s="50">
        <v>1.0075504639999999</v>
      </c>
      <c r="N41" s="57"/>
    </row>
    <row r="42" spans="1:21">
      <c r="A42" s="51">
        <v>38</v>
      </c>
      <c r="B42" s="51" t="s">
        <v>48</v>
      </c>
      <c r="C42" s="48">
        <f>237174784/1000000000</f>
        <v>0.237174784</v>
      </c>
      <c r="D42" s="47">
        <v>0.77956710399999996</v>
      </c>
      <c r="E42" s="54">
        <f>886800384/1000000000</f>
        <v>0.88680038400000005</v>
      </c>
      <c r="F42" s="54">
        <v>0.93419929599999996</v>
      </c>
      <c r="G42" s="54">
        <v>1.052442624</v>
      </c>
      <c r="I42" s="50">
        <v>0.88680038400000005</v>
      </c>
      <c r="J42" s="50">
        <v>0.92607283200000001</v>
      </c>
      <c r="K42" s="50">
        <v>0.91619328</v>
      </c>
      <c r="L42" s="50">
        <v>1.0651402240000001</v>
      </c>
      <c r="M42" s="50">
        <v>0.95775948799999999</v>
      </c>
      <c r="N42" s="57"/>
    </row>
    <row r="43" spans="1:21">
      <c r="A43" s="51">
        <v>39</v>
      </c>
      <c r="B43" s="51" t="s">
        <v>50</v>
      </c>
      <c r="C43" s="48">
        <f>170278912/1000000000</f>
        <v>0.170278912</v>
      </c>
      <c r="D43" s="47">
        <f>823967744/1000000000</f>
        <v>0.82396774399999995</v>
      </c>
      <c r="E43" s="54">
        <v>0.70067814399999995</v>
      </c>
      <c r="F43" s="54">
        <v>0.98230271999999996</v>
      </c>
      <c r="G43" s="54">
        <v>1.004634112</v>
      </c>
      <c r="I43" s="50">
        <v>0.70067814399999995</v>
      </c>
      <c r="J43" s="50">
        <v>0.88915968000000001</v>
      </c>
      <c r="K43" s="50">
        <v>1.035337728</v>
      </c>
      <c r="L43" s="50">
        <v>1.0682695680000001</v>
      </c>
      <c r="M43" s="50">
        <v>1.0127769600000001</v>
      </c>
      <c r="N43" s="57"/>
    </row>
    <row r="44" spans="1:21">
      <c r="A44" s="51">
        <v>40</v>
      </c>
      <c r="B44" s="51" t="s">
        <v>52</v>
      </c>
      <c r="C44" s="48">
        <f>174161920/1000000000</f>
        <v>0.17416192</v>
      </c>
      <c r="D44" s="47">
        <v>0.55212441599999995</v>
      </c>
      <c r="E44" s="54">
        <v>0.91299839999999999</v>
      </c>
      <c r="F44" s="54">
        <v>0.84238336000000003</v>
      </c>
      <c r="G44" s="54">
        <v>0.98346598399999996</v>
      </c>
      <c r="I44" s="50">
        <v>0.91299839999999999</v>
      </c>
      <c r="J44" s="50">
        <v>1.004650496</v>
      </c>
      <c r="K44" s="50">
        <v>0.85827584000000001</v>
      </c>
      <c r="L44" s="50">
        <v>0.91109785600000004</v>
      </c>
      <c r="M44" s="50">
        <v>0.98128691199999996</v>
      </c>
      <c r="N44" s="57"/>
    </row>
    <row r="45" spans="1:21">
      <c r="A45" s="51">
        <v>41</v>
      </c>
      <c r="B45" s="51" t="s">
        <v>610</v>
      </c>
      <c r="C45" s="48">
        <f>195837952/1000000000</f>
        <v>0.19583795200000001</v>
      </c>
      <c r="D45" s="47">
        <v>0.72047001600000005</v>
      </c>
      <c r="E45" s="54">
        <v>0.82583552000000005</v>
      </c>
      <c r="F45" s="54">
        <v>0.97309491199999998</v>
      </c>
      <c r="G45" s="54">
        <v>1.0324705279999999</v>
      </c>
      <c r="I45" s="50">
        <v>0.82583552000000005</v>
      </c>
      <c r="J45" s="50">
        <v>0.77712588800000004</v>
      </c>
      <c r="K45" s="54">
        <v>1.2459048960000001</v>
      </c>
      <c r="L45" s="50">
        <v>0.97774796799999997</v>
      </c>
      <c r="M45" s="50">
        <v>0.983433216</v>
      </c>
      <c r="N45" s="57"/>
    </row>
    <row r="46" spans="1:21">
      <c r="A46" s="51">
        <v>42</v>
      </c>
      <c r="B46" s="51" t="s">
        <v>54</v>
      </c>
      <c r="C46" s="48">
        <f>143671296/1000000000</f>
        <v>0.143671296</v>
      </c>
      <c r="D46" s="47">
        <v>0.76549324799999996</v>
      </c>
      <c r="E46" s="54">
        <v>0.87826431999999999</v>
      </c>
      <c r="F46" s="54">
        <v>0.91021311999999999</v>
      </c>
      <c r="G46" s="54">
        <v>1.0004234240000001</v>
      </c>
      <c r="I46" s="50">
        <v>0.87826431999999999</v>
      </c>
      <c r="J46" s="50">
        <v>1.030258688</v>
      </c>
      <c r="K46" s="50">
        <v>1.0193960959999999</v>
      </c>
      <c r="L46" s="50">
        <v>0.92756377599999995</v>
      </c>
      <c r="M46" s="50">
        <v>1.1086069759999999</v>
      </c>
      <c r="N46" s="57"/>
      <c r="P46" s="48"/>
      <c r="Q46" s="47"/>
      <c r="R46" s="47"/>
      <c r="S46" s="47"/>
      <c r="T46" s="47"/>
      <c r="U46" s="47"/>
    </row>
    <row r="47" spans="1:21">
      <c r="A47" s="51">
        <v>43</v>
      </c>
      <c r="B47" s="51" t="s">
        <v>55</v>
      </c>
      <c r="C47" s="48">
        <f>217563136/1000000000</f>
        <v>0.21756313599999999</v>
      </c>
      <c r="D47" s="47">
        <v>0.41097625599999998</v>
      </c>
      <c r="E47" s="54">
        <v>0.58171392</v>
      </c>
      <c r="F47" s="54">
        <v>0.992346112</v>
      </c>
      <c r="G47" s="54">
        <v>0.96531251200000001</v>
      </c>
      <c r="I47" s="50">
        <v>0.58171392</v>
      </c>
      <c r="J47" s="50">
        <v>0.97681408000000003</v>
      </c>
      <c r="K47" s="50">
        <v>0.90380697600000004</v>
      </c>
      <c r="L47" s="50">
        <v>0.93736140800000001</v>
      </c>
      <c r="M47" s="50">
        <v>1.031569408</v>
      </c>
      <c r="N47" s="57"/>
      <c r="P47" s="48"/>
      <c r="Q47" s="47"/>
      <c r="R47" s="47"/>
      <c r="S47" s="47"/>
      <c r="T47" s="47"/>
      <c r="U47" s="47"/>
    </row>
    <row r="48" spans="1:21">
      <c r="A48" s="51">
        <v>44</v>
      </c>
      <c r="B48" s="51" t="s">
        <v>56</v>
      </c>
      <c r="C48" s="48">
        <f>204029952/1000000000</f>
        <v>0.20402995199999999</v>
      </c>
      <c r="D48" s="47">
        <f>739688448/1000000000</f>
        <v>0.739688448</v>
      </c>
      <c r="E48" s="54">
        <v>0.87837900800000002</v>
      </c>
      <c r="F48" s="54">
        <v>0.94376755199999995</v>
      </c>
      <c r="G48" s="54">
        <v>1.062076416</v>
      </c>
      <c r="I48" s="50">
        <v>0.87837900800000002</v>
      </c>
      <c r="J48" s="50">
        <v>0.91444019200000004</v>
      </c>
      <c r="K48" s="50">
        <v>0.89731891200000002</v>
      </c>
      <c r="L48" s="50">
        <v>0.95295897600000001</v>
      </c>
      <c r="M48" s="50">
        <v>1.0139893760000001</v>
      </c>
      <c r="N48" s="57"/>
    </row>
    <row r="49" spans="1:21">
      <c r="A49" s="51">
        <v>45</v>
      </c>
      <c r="B49" s="51" t="s">
        <v>57</v>
      </c>
      <c r="C49" s="48">
        <f>261341184/1000000000</f>
        <v>0.261341184</v>
      </c>
      <c r="D49" s="47">
        <v>0.76929433599999997</v>
      </c>
      <c r="E49" s="54">
        <f>776814592/1000000000</f>
        <v>0.77681459200000003</v>
      </c>
      <c r="F49" s="54">
        <v>1.0655825919999999</v>
      </c>
      <c r="G49" s="54">
        <v>1.1059527680000001</v>
      </c>
      <c r="I49" s="50">
        <v>0.77681459200000003</v>
      </c>
      <c r="J49" s="50">
        <v>0.89238732799999998</v>
      </c>
      <c r="K49" s="50">
        <v>0.91157299199999997</v>
      </c>
      <c r="L49" s="50">
        <v>0.91085209599999994</v>
      </c>
      <c r="M49" s="50">
        <v>0.96659046400000004</v>
      </c>
      <c r="N49" s="57"/>
    </row>
    <row r="50" spans="1:21">
      <c r="A50" s="51">
        <v>46</v>
      </c>
      <c r="B50" s="51" t="s">
        <v>567</v>
      </c>
      <c r="C50" s="48">
        <f>208535552/1000000000</f>
        <v>0.20853555200000001</v>
      </c>
      <c r="D50" s="47">
        <v>0.64289177600000003</v>
      </c>
      <c r="E50" s="54">
        <v>0.75934924800000003</v>
      </c>
      <c r="F50" s="54">
        <v>0.97080115199999995</v>
      </c>
      <c r="G50" s="54">
        <v>1.0873405439999999</v>
      </c>
      <c r="I50" s="50">
        <v>0.75934924800000003</v>
      </c>
      <c r="J50" s="50">
        <v>0.98361343999999995</v>
      </c>
      <c r="K50" s="54">
        <v>1.0537041920000001</v>
      </c>
      <c r="L50" s="54">
        <v>0.87272652799999995</v>
      </c>
      <c r="M50" s="50">
        <v>1.0775101439999999</v>
      </c>
      <c r="N50" s="57"/>
    </row>
    <row r="51" spans="1:21">
      <c r="A51" s="51">
        <v>47</v>
      </c>
      <c r="B51" s="51" t="s">
        <v>59</v>
      </c>
      <c r="C51" s="48">
        <f>198377472/1000000000</f>
        <v>0.198377472</v>
      </c>
      <c r="D51" s="47">
        <v>0.67013836800000004</v>
      </c>
      <c r="E51" s="54">
        <v>0.80239001600000004</v>
      </c>
      <c r="F51" s="54">
        <v>0.91478425600000002</v>
      </c>
      <c r="G51" s="54">
        <v>0.962166784</v>
      </c>
      <c r="I51" s="50">
        <v>0.80239001600000004</v>
      </c>
      <c r="J51" s="50">
        <v>1.0499850239999999</v>
      </c>
      <c r="K51" s="50">
        <v>0.85742387200000003</v>
      </c>
      <c r="L51" s="50">
        <v>0.94013030399999997</v>
      </c>
      <c r="M51" s="50">
        <v>0.97198079999999998</v>
      </c>
      <c r="N51" s="57"/>
    </row>
    <row r="52" spans="1:21">
      <c r="A52" s="51">
        <v>48</v>
      </c>
      <c r="B52" s="51" t="s">
        <v>611</v>
      </c>
      <c r="C52" s="48">
        <f>479674368/1000000000</f>
        <v>0.47967436800000002</v>
      </c>
      <c r="D52" s="47">
        <v>0.78241791999999999</v>
      </c>
      <c r="E52" s="54">
        <v>0.89217433599999996</v>
      </c>
      <c r="F52" s="54">
        <v>0.91768422400000005</v>
      </c>
      <c r="G52" s="54">
        <v>1.11149056</v>
      </c>
      <c r="I52" s="50">
        <v>0.89217433599999996</v>
      </c>
      <c r="J52" s="54">
        <v>1.098399744</v>
      </c>
      <c r="K52" s="50">
        <v>0.96534527999999997</v>
      </c>
      <c r="L52" s="50">
        <v>0.96586956800000001</v>
      </c>
      <c r="M52" s="50">
        <v>1.021149184</v>
      </c>
      <c r="N52" s="57"/>
      <c r="Q52" s="24"/>
      <c r="R52" s="24"/>
      <c r="S52" s="24"/>
      <c r="T52" s="24"/>
      <c r="U52" s="24"/>
    </row>
    <row r="53" spans="1:21">
      <c r="A53" s="51">
        <v>49</v>
      </c>
      <c r="B53" s="51" t="s">
        <v>61</v>
      </c>
      <c r="C53" s="48">
        <f>234045440/1000000000</f>
        <v>0.23404543999999999</v>
      </c>
      <c r="D53" s="47">
        <v>0.48624435199999999</v>
      </c>
      <c r="E53" s="54">
        <v>0.745259008</v>
      </c>
      <c r="F53" s="54">
        <v>0.86656614399999998</v>
      </c>
      <c r="G53" s="54">
        <v>0.98770944000000005</v>
      </c>
      <c r="I53" s="50">
        <v>0.745259008</v>
      </c>
      <c r="J53" s="50">
        <v>0.98584166399999995</v>
      </c>
      <c r="K53" s="50">
        <v>0.94101504000000002</v>
      </c>
      <c r="L53" s="54">
        <v>0.87610163200000002</v>
      </c>
      <c r="M53" s="50">
        <v>0.99157606399999998</v>
      </c>
      <c r="N53" s="57"/>
      <c r="Q53" s="47"/>
      <c r="R53" s="47"/>
      <c r="S53" s="47"/>
      <c r="T53" s="47"/>
      <c r="U53" s="47"/>
    </row>
    <row r="54" spans="1:21">
      <c r="A54" s="51">
        <v>50</v>
      </c>
      <c r="B54" s="51" t="s">
        <v>570</v>
      </c>
      <c r="C54" s="48">
        <f>174587904/1000000000</f>
        <v>0.17458790399999999</v>
      </c>
      <c r="D54" s="47">
        <f>563101696/1000000000</f>
        <v>0.56310169600000004</v>
      </c>
      <c r="E54" s="54">
        <v>0.85034598400000005</v>
      </c>
      <c r="F54" s="54">
        <v>0.95887359999999999</v>
      </c>
      <c r="G54" s="54">
        <v>1.0759700480000001</v>
      </c>
      <c r="I54" s="50">
        <v>0.85034598400000005</v>
      </c>
      <c r="J54" s="50">
        <v>0.92556492800000001</v>
      </c>
      <c r="K54" s="50">
        <v>0.96403455999999998</v>
      </c>
      <c r="L54" s="54">
        <v>1.0538188799999999</v>
      </c>
      <c r="M54" s="50">
        <v>0.94945279999999999</v>
      </c>
      <c r="N54" s="57"/>
    </row>
    <row r="55" spans="1:21">
      <c r="A55" s="51">
        <v>51</v>
      </c>
      <c r="B55" s="51" t="s">
        <v>63</v>
      </c>
      <c r="C55" s="48">
        <f>302055424/1000000000</f>
        <v>0.30205542400000002</v>
      </c>
      <c r="D55" s="47">
        <f>776503296/1000000000</f>
        <v>0.77650329600000001</v>
      </c>
      <c r="E55" s="54">
        <v>0.89351782400000002</v>
      </c>
      <c r="F55" s="54">
        <v>1.0403512319999999</v>
      </c>
      <c r="G55" s="54">
        <f>1117437952/1000000000</f>
        <v>1.117437952</v>
      </c>
      <c r="I55" s="50">
        <v>0.89351782400000002</v>
      </c>
      <c r="J55" s="50">
        <v>0.893812736</v>
      </c>
      <c r="K55" s="50">
        <v>0.99935846399999995</v>
      </c>
      <c r="L55" s="50">
        <v>0.95279513599999999</v>
      </c>
      <c r="M55" s="50">
        <v>0.99536076799999995</v>
      </c>
      <c r="N55" s="57"/>
    </row>
    <row r="56" spans="1:21">
      <c r="A56" s="51">
        <v>52</v>
      </c>
      <c r="B56" s="51" t="s">
        <v>65</v>
      </c>
      <c r="C56" s="48">
        <f>208863232/1000000000</f>
        <v>0.20886323200000001</v>
      </c>
      <c r="D56" s="47">
        <v>0.69192908799999997</v>
      </c>
      <c r="E56" s="54">
        <v>0.76277350399999999</v>
      </c>
      <c r="F56" s="54">
        <v>0.89317376000000004</v>
      </c>
      <c r="G56" s="54">
        <v>1.005862912</v>
      </c>
      <c r="I56" s="50">
        <v>0.76277350399999999</v>
      </c>
      <c r="J56" s="50">
        <v>0.89455001599999995</v>
      </c>
      <c r="K56" s="50">
        <v>1.073627136</v>
      </c>
      <c r="L56" s="50">
        <v>0.93029990399999996</v>
      </c>
      <c r="M56" s="50">
        <v>1.0703339519999999</v>
      </c>
      <c r="N56" s="57"/>
    </row>
    <row r="57" spans="1:21">
      <c r="A57" s="51">
        <v>53</v>
      </c>
      <c r="B57" s="51" t="s">
        <v>67</v>
      </c>
      <c r="C57" s="48">
        <f>148488192/1000000000</f>
        <v>0.14848819199999999</v>
      </c>
      <c r="D57" s="47">
        <f>678608896/1000000000</f>
        <v>0.67860889599999996</v>
      </c>
      <c r="E57" s="54">
        <v>0.81281024000000002</v>
      </c>
      <c r="F57" s="54">
        <v>0.87960780800000005</v>
      </c>
      <c r="G57" s="54">
        <v>1.000718336</v>
      </c>
      <c r="I57" s="50">
        <v>0.81281024000000002</v>
      </c>
      <c r="J57" s="50">
        <v>0.93649305599999999</v>
      </c>
      <c r="K57" s="50">
        <v>1.019838464</v>
      </c>
      <c r="L57" s="50">
        <v>0.95615385600000002</v>
      </c>
      <c r="M57" s="50">
        <v>1.09821952</v>
      </c>
      <c r="N57" s="57"/>
    </row>
    <row r="58" spans="1:21">
      <c r="A58" s="51">
        <v>54</v>
      </c>
      <c r="B58" s="51" t="s">
        <v>68</v>
      </c>
      <c r="C58" s="48">
        <f>230146048/1000000000</f>
        <v>0.23014604799999999</v>
      </c>
      <c r="D58" s="47">
        <v>0.30600396800000002</v>
      </c>
      <c r="E58" s="54">
        <v>0.89284607999999999</v>
      </c>
      <c r="F58" s="54">
        <v>0.82683494400000002</v>
      </c>
      <c r="G58" s="54">
        <f>915554304/1000000000</f>
        <v>0.91555430400000004</v>
      </c>
      <c r="I58" s="50">
        <v>0.89284607999999999</v>
      </c>
      <c r="J58" s="50">
        <v>0.91512832</v>
      </c>
      <c r="K58" s="50">
        <v>1.026326528</v>
      </c>
      <c r="L58" s="50">
        <v>0.93097164799999998</v>
      </c>
      <c r="M58" s="50">
        <v>1.0654351360000001</v>
      </c>
      <c r="N58" s="57"/>
    </row>
    <row r="59" spans="1:21">
      <c r="A59" s="51">
        <v>55</v>
      </c>
      <c r="B59" s="51" t="s">
        <v>69</v>
      </c>
      <c r="C59" s="48">
        <f>164675584/1000000000</f>
        <v>0.16467558400000001</v>
      </c>
      <c r="D59" s="47">
        <v>0.42455859200000001</v>
      </c>
      <c r="E59" s="54">
        <v>0.82213273600000003</v>
      </c>
      <c r="F59" s="54">
        <v>0.90783744</v>
      </c>
      <c r="G59" s="54">
        <v>1.0097623040000001</v>
      </c>
      <c r="I59" s="50">
        <v>0.82213273600000003</v>
      </c>
      <c r="J59" s="50">
        <v>0.92828467199999998</v>
      </c>
      <c r="K59" s="50">
        <v>0.97409433599999995</v>
      </c>
      <c r="L59" s="50">
        <v>0.98870886400000002</v>
      </c>
      <c r="M59" s="50">
        <v>1.049116672</v>
      </c>
      <c r="N59" s="57"/>
    </row>
    <row r="60" spans="1:21">
      <c r="A60" s="51">
        <v>56</v>
      </c>
      <c r="B60" s="51" t="s">
        <v>71</v>
      </c>
      <c r="C60" s="48">
        <f>233013248/1000000000</f>
        <v>0.23301324800000001</v>
      </c>
      <c r="D60" s="47">
        <v>0.296124416</v>
      </c>
      <c r="E60" s="54">
        <v>0.88468684799999997</v>
      </c>
      <c r="F60" s="54">
        <v>0.90965606399999999</v>
      </c>
      <c r="G60" s="54">
        <v>1.005764608</v>
      </c>
      <c r="I60" s="50">
        <v>0.88468684799999997</v>
      </c>
      <c r="J60" s="50">
        <v>0.87798579200000004</v>
      </c>
      <c r="K60" s="50">
        <v>0.98192588800000002</v>
      </c>
      <c r="L60" s="50">
        <v>0.94617600000000002</v>
      </c>
      <c r="M60" s="50">
        <v>0.96554188799999996</v>
      </c>
      <c r="N60" s="57"/>
    </row>
    <row r="61" spans="1:21">
      <c r="A61" s="51">
        <v>57</v>
      </c>
      <c r="B61" s="51" t="s">
        <v>72</v>
      </c>
      <c r="C61" s="48">
        <f>192692224/1000000000</f>
        <v>0.192692224</v>
      </c>
      <c r="D61" s="47">
        <f>761233408/1000000000</f>
        <v>0.76123340799999994</v>
      </c>
      <c r="E61" s="54">
        <v>0.82753945600000001</v>
      </c>
      <c r="F61" s="54">
        <v>0.950321152</v>
      </c>
      <c r="G61" s="54">
        <v>1.0547363839999999</v>
      </c>
      <c r="I61" s="50">
        <v>0.82753945600000001</v>
      </c>
      <c r="J61" s="50">
        <v>0.87443046400000002</v>
      </c>
      <c r="K61" s="50">
        <v>1.0248192</v>
      </c>
      <c r="L61" s="50">
        <v>1.03350272</v>
      </c>
      <c r="M61" s="50">
        <v>1.085980672</v>
      </c>
      <c r="N61" s="57"/>
    </row>
    <row r="62" spans="1:21">
      <c r="A62" s="51">
        <v>58</v>
      </c>
      <c r="B62" s="51" t="s">
        <v>73</v>
      </c>
      <c r="C62" s="48">
        <f>259375104/1000000000</f>
        <v>0.25937510400000002</v>
      </c>
      <c r="D62" s="47">
        <v>0.66641919999999999</v>
      </c>
      <c r="E62" s="54">
        <v>0.8679424</v>
      </c>
      <c r="F62" s="54">
        <v>0.967786496</v>
      </c>
      <c r="G62" s="54">
        <v>1.014972416</v>
      </c>
      <c r="I62" s="50">
        <v>0.8679424</v>
      </c>
      <c r="J62" s="50">
        <v>0.93154508800000002</v>
      </c>
      <c r="K62" s="50">
        <v>1.1024957440000001</v>
      </c>
      <c r="L62" s="50">
        <v>0.96165887999999999</v>
      </c>
      <c r="M62" s="50">
        <v>1.222377472</v>
      </c>
      <c r="N62" s="59"/>
    </row>
    <row r="63" spans="1:21">
      <c r="A63" s="51">
        <v>59</v>
      </c>
      <c r="B63" s="51" t="s">
        <v>74</v>
      </c>
      <c r="C63" s="48">
        <f>227704832/1000000000</f>
        <v>0.227704832</v>
      </c>
      <c r="D63" s="47">
        <f>677773312/1000000000</f>
        <v>0.67777331200000002</v>
      </c>
      <c r="E63" s="54">
        <v>0.781156352</v>
      </c>
      <c r="F63" s="54">
        <f>901251072/1000000000</f>
        <v>0.90125107199999999</v>
      </c>
      <c r="G63" s="54">
        <f>1050525696/1000000000</f>
        <v>1.050525696</v>
      </c>
      <c r="I63" s="50">
        <v>0.781156352</v>
      </c>
      <c r="J63" s="50">
        <v>0.92715417600000005</v>
      </c>
      <c r="K63" s="50">
        <v>0.97327513600000004</v>
      </c>
      <c r="L63" s="50">
        <v>0.93493657600000002</v>
      </c>
      <c r="M63" s="50">
        <v>1.076543488</v>
      </c>
      <c r="N63" s="57"/>
    </row>
    <row r="64" spans="1:21">
      <c r="A64" s="51">
        <v>60</v>
      </c>
      <c r="B64" s="51" t="s">
        <v>75</v>
      </c>
      <c r="C64" s="48">
        <f>221249536/1000000000</f>
        <v>0.221249536</v>
      </c>
      <c r="D64" s="47">
        <v>0.81636556800000004</v>
      </c>
      <c r="E64" s="54">
        <v>0.62978457600000004</v>
      </c>
      <c r="F64" s="54">
        <v>0.911736832</v>
      </c>
      <c r="G64" s="54">
        <v>1.0240655359999999</v>
      </c>
      <c r="I64" s="50">
        <v>0.62978457600000004</v>
      </c>
      <c r="J64" s="50">
        <v>0.96083967999999997</v>
      </c>
      <c r="K64" s="50">
        <v>1.0136944640000001</v>
      </c>
      <c r="L64" s="50">
        <v>1.0133504</v>
      </c>
      <c r="M64" s="50">
        <v>1.031684096</v>
      </c>
      <c r="N64" s="57"/>
    </row>
    <row r="65" spans="1:14">
      <c r="A65" s="51">
        <v>61</v>
      </c>
      <c r="B65" s="51" t="s">
        <v>76</v>
      </c>
      <c r="C65" s="48">
        <f>234930176/1000000000</f>
        <v>0.23493017599999999</v>
      </c>
      <c r="D65" s="47">
        <v>0.541310976</v>
      </c>
      <c r="E65" s="54">
        <v>0.74606182399999998</v>
      </c>
      <c r="F65" s="54">
        <v>0.94219468799999995</v>
      </c>
      <c r="G65" s="54">
        <v>1.021558784</v>
      </c>
      <c r="I65" s="50">
        <v>0.74606182399999998</v>
      </c>
      <c r="J65" s="50">
        <v>0.873005056</v>
      </c>
      <c r="K65" s="50">
        <v>0.99342745600000004</v>
      </c>
      <c r="L65" s="50">
        <v>0.89389465599999995</v>
      </c>
      <c r="M65" s="50">
        <v>1.089093632</v>
      </c>
      <c r="N65" s="57"/>
    </row>
    <row r="66" spans="1:14">
      <c r="A66" s="51">
        <v>62</v>
      </c>
      <c r="B66" s="51" t="s">
        <v>77</v>
      </c>
      <c r="C66" s="48">
        <f>214761472/1000000000</f>
        <v>0.21476147200000001</v>
      </c>
      <c r="D66" s="47">
        <v>0.28998041600000002</v>
      </c>
      <c r="E66" s="54">
        <v>0.79233023999999996</v>
      </c>
      <c r="F66" s="54">
        <v>1.053474816</v>
      </c>
      <c r="G66" s="54">
        <v>1.05365504</v>
      </c>
      <c r="I66" s="50">
        <v>0.79233023999999996</v>
      </c>
      <c r="J66" s="50">
        <v>0.92995583999999998</v>
      </c>
      <c r="K66" s="50">
        <v>1.027555328</v>
      </c>
      <c r="L66" s="54">
        <v>0.86823731199999998</v>
      </c>
      <c r="M66" s="50">
        <v>1.0205921280000001</v>
      </c>
      <c r="N66" s="57"/>
    </row>
    <row r="67" spans="1:14">
      <c r="A67" s="51">
        <v>63</v>
      </c>
      <c r="B67" s="51" t="s">
        <v>78</v>
      </c>
      <c r="C67" s="48">
        <f>241090560/1000000000</f>
        <v>0.24109056000000001</v>
      </c>
      <c r="D67" s="47">
        <v>0.30687231999999998</v>
      </c>
      <c r="E67" s="54">
        <v>0.80891084800000002</v>
      </c>
      <c r="F67" s="54">
        <v>1.023901696</v>
      </c>
      <c r="G67" s="54">
        <f>1036648448/1000000000</f>
        <v>1.036648448</v>
      </c>
      <c r="I67" s="50">
        <v>0.80891084800000002</v>
      </c>
      <c r="J67" s="50">
        <v>1.043120128</v>
      </c>
      <c r="K67" s="50">
        <v>1.0046013439999999</v>
      </c>
      <c r="L67" s="50">
        <v>0.92662988800000001</v>
      </c>
      <c r="M67" s="50">
        <v>1.1044290560000001</v>
      </c>
      <c r="N67" s="57"/>
    </row>
    <row r="68" spans="1:14">
      <c r="A68" s="51">
        <v>64</v>
      </c>
      <c r="B68" s="51" t="s">
        <v>580</v>
      </c>
      <c r="C68" s="48">
        <f>244072448/1000000000</f>
        <v>0.244072448</v>
      </c>
      <c r="D68" s="47">
        <v>0.78777548799999997</v>
      </c>
      <c r="E68" s="54">
        <f>872710144/1000000000</f>
        <v>0.87271014400000002</v>
      </c>
      <c r="F68" s="54">
        <v>0.95410585599999997</v>
      </c>
      <c r="G68" s="54">
        <v>1.082638336</v>
      </c>
      <c r="I68" s="50">
        <v>0.87271014400000002</v>
      </c>
      <c r="J68" s="50">
        <v>0.79449292800000004</v>
      </c>
      <c r="K68" s="50">
        <v>1.062273024</v>
      </c>
      <c r="L68" s="54">
        <v>1.1773706239999999</v>
      </c>
      <c r="M68" s="50">
        <v>0.96724582400000003</v>
      </c>
      <c r="N68" s="57"/>
    </row>
    <row r="69" spans="1:14">
      <c r="A69" s="51">
        <v>65</v>
      </c>
      <c r="B69" s="51" t="s">
        <v>581</v>
      </c>
      <c r="C69" s="48">
        <f>415531008/1000000000</f>
        <v>0.41553100799999998</v>
      </c>
      <c r="D69" s="47">
        <v>0.43786239999999998</v>
      </c>
      <c r="E69" s="54">
        <v>0.85691596800000003</v>
      </c>
      <c r="F69" s="54">
        <v>0.94719180800000002</v>
      </c>
      <c r="G69" s="54">
        <v>1.0760028159999999</v>
      </c>
      <c r="I69" s="50">
        <v>0.85691596800000003</v>
      </c>
      <c r="J69" s="50">
        <v>0.67108864000000001</v>
      </c>
      <c r="K69" s="54">
        <v>0.93939302400000002</v>
      </c>
      <c r="L69" s="50">
        <v>0.93139763200000003</v>
      </c>
      <c r="M69" s="50">
        <v>1.0413834239999999</v>
      </c>
      <c r="N69" s="59"/>
    </row>
    <row r="70" spans="1:14">
      <c r="A70" s="51">
        <v>66</v>
      </c>
      <c r="B70" s="51" t="s">
        <v>82</v>
      </c>
      <c r="C70" s="48">
        <f>178339840/1000000000</f>
        <v>0.17833984</v>
      </c>
      <c r="D70" s="47">
        <v>0.38174720000000001</v>
      </c>
      <c r="E70" s="54">
        <v>0.86695935999999996</v>
      </c>
      <c r="F70" s="54">
        <v>0.97050623999999996</v>
      </c>
      <c r="G70" s="54">
        <v>1.1341004800000001</v>
      </c>
      <c r="I70" s="50">
        <v>0.86695935999999996</v>
      </c>
      <c r="J70" s="50">
        <v>0.91327692800000004</v>
      </c>
      <c r="K70" s="50">
        <v>0.96772095999999996</v>
      </c>
      <c r="L70" s="50">
        <v>0.96803225599999998</v>
      </c>
      <c r="M70" s="50">
        <v>1.009811456</v>
      </c>
      <c r="N70" s="57"/>
    </row>
    <row r="71" spans="1:14">
      <c r="A71" s="51">
        <v>67</v>
      </c>
      <c r="B71" s="51" t="s">
        <v>583</v>
      </c>
      <c r="C71" s="48">
        <f>164380672/1000000000</f>
        <v>0.16438067200000001</v>
      </c>
      <c r="D71" s="47">
        <v>0.38097715199999999</v>
      </c>
      <c r="E71" s="54">
        <f>960495616/1000000000</f>
        <v>0.960495616</v>
      </c>
      <c r="F71" s="54">
        <v>0.85896396799999997</v>
      </c>
      <c r="G71" s="54">
        <v>1.0587013119999999</v>
      </c>
      <c r="I71" s="50">
        <v>0.960495616</v>
      </c>
      <c r="J71" s="50">
        <v>0.97515929599999995</v>
      </c>
      <c r="K71" s="50">
        <v>0.99768729599999995</v>
      </c>
      <c r="L71" s="54">
        <v>1.1142758399999999</v>
      </c>
      <c r="M71" s="50">
        <v>0.98707046399999998</v>
      </c>
      <c r="N71" s="57"/>
    </row>
    <row r="72" spans="1:14">
      <c r="A72" s="51">
        <v>68</v>
      </c>
      <c r="B72" s="51" t="s">
        <v>584</v>
      </c>
      <c r="C72" s="48">
        <f>237748224/1000000000</f>
        <v>0.23774822400000001</v>
      </c>
      <c r="D72" s="47">
        <f>725008384/1000000000</f>
        <v>0.72500838400000001</v>
      </c>
      <c r="E72" s="54">
        <v>0.82588467200000004</v>
      </c>
      <c r="F72" s="54">
        <v>0.94171955200000002</v>
      </c>
      <c r="G72" s="54">
        <v>1.026326528</v>
      </c>
      <c r="I72" s="50">
        <v>0.82588467200000004</v>
      </c>
      <c r="J72" s="50">
        <v>0.85136179199999995</v>
      </c>
      <c r="K72" s="50">
        <v>0.96509951999999999</v>
      </c>
      <c r="L72" s="50">
        <v>1.1324784640000001</v>
      </c>
      <c r="M72" s="50">
        <v>1.0546053120000001</v>
      </c>
      <c r="N72" s="59"/>
    </row>
    <row r="73" spans="1:14">
      <c r="A73" s="51">
        <v>69</v>
      </c>
      <c r="B73" s="51" t="s">
        <v>85</v>
      </c>
      <c r="C73" s="48">
        <f>250249216/1000000000</f>
        <v>0.250249216</v>
      </c>
      <c r="D73" s="47">
        <v>0.79303475199999995</v>
      </c>
      <c r="E73" s="54">
        <v>0.77686374400000002</v>
      </c>
      <c r="F73" s="54">
        <v>0.90267648</v>
      </c>
      <c r="G73" s="54">
        <v>1.0326016</v>
      </c>
      <c r="I73" s="50">
        <v>0.77686374400000002</v>
      </c>
      <c r="J73" s="50">
        <v>0.96994918399999996</v>
      </c>
      <c r="K73" s="50">
        <v>0.94455398400000001</v>
      </c>
      <c r="L73" s="50">
        <v>0.95943065599999999</v>
      </c>
      <c r="M73" s="50">
        <v>1.099235328</v>
      </c>
      <c r="N73" s="57"/>
    </row>
    <row r="74" spans="1:14">
      <c r="A74" s="51">
        <v>70</v>
      </c>
      <c r="B74" s="51" t="s">
        <v>86</v>
      </c>
      <c r="C74" s="48">
        <f>229130240/1000000000</f>
        <v>0.22913024000000001</v>
      </c>
      <c r="D74" s="47">
        <v>0.63394611199999995</v>
      </c>
      <c r="E74" s="54">
        <v>0.78417100799999995</v>
      </c>
      <c r="F74" s="54">
        <v>0.99352576000000004</v>
      </c>
      <c r="G74" s="54">
        <v>1.0720542719999999</v>
      </c>
      <c r="I74" s="50">
        <v>0.78417100799999995</v>
      </c>
      <c r="J74" s="50">
        <v>1.041514496</v>
      </c>
      <c r="K74" s="50">
        <v>1.0446766080000001</v>
      </c>
      <c r="L74" s="50">
        <v>0.98082815999999995</v>
      </c>
      <c r="M74" s="50">
        <v>1.1052318720000001</v>
      </c>
      <c r="N74" s="57"/>
    </row>
    <row r="75" spans="1:14">
      <c r="A75" s="51">
        <v>71</v>
      </c>
      <c r="B75" s="51" t="s">
        <v>586</v>
      </c>
      <c r="C75" s="48">
        <f>226426880/1000000000</f>
        <v>0.22642688</v>
      </c>
      <c r="D75" s="47">
        <v>0.71588249599999998</v>
      </c>
      <c r="E75" s="54">
        <v>0.84372684799999997</v>
      </c>
      <c r="F75" s="54">
        <v>0.92644966399999995</v>
      </c>
      <c r="G75" s="54">
        <v>1.0544250879999999</v>
      </c>
      <c r="I75" s="50">
        <v>0.84372684799999997</v>
      </c>
      <c r="J75" s="50">
        <v>1.037975552</v>
      </c>
      <c r="K75" s="50">
        <v>1.062797312</v>
      </c>
      <c r="L75" s="54">
        <v>1.1730124799999999</v>
      </c>
      <c r="M75" s="50">
        <v>1.144373248</v>
      </c>
      <c r="N75" s="57"/>
    </row>
    <row r="76" spans="1:14">
      <c r="A76" s="51">
        <v>72</v>
      </c>
      <c r="B76" s="51" t="s">
        <v>88</v>
      </c>
      <c r="C76" s="48">
        <f>443023360/1000000000</f>
        <v>0.44302335999999998</v>
      </c>
      <c r="D76" s="47">
        <f>647839744/1000000000</f>
        <v>0.647839744</v>
      </c>
      <c r="E76" s="54">
        <v>0.87585587200000004</v>
      </c>
      <c r="F76" s="54">
        <v>0.97180057600000003</v>
      </c>
      <c r="G76" s="54">
        <v>1.1002183679999999</v>
      </c>
      <c r="I76" s="50">
        <v>0.87585587200000004</v>
      </c>
      <c r="J76" s="50">
        <v>1.0043719680000001</v>
      </c>
      <c r="K76" s="50">
        <v>1.012056064</v>
      </c>
      <c r="L76" s="50">
        <v>1.00941824</v>
      </c>
      <c r="M76" s="50">
        <v>0.95608831999999999</v>
      </c>
      <c r="N76" s="57"/>
    </row>
    <row r="77" spans="1:14">
      <c r="A77" s="51">
        <v>73</v>
      </c>
      <c r="B77" s="51" t="s">
        <v>89</v>
      </c>
      <c r="C77" s="48">
        <f>230850560/1000000000</f>
        <v>0.23085056000000001</v>
      </c>
      <c r="D77" s="47">
        <v>0.59593523199999998</v>
      </c>
      <c r="E77" s="54">
        <v>0.73324953599999998</v>
      </c>
      <c r="F77" s="54">
        <v>0.86985932799999999</v>
      </c>
      <c r="G77" s="54">
        <v>1.0529832960000001</v>
      </c>
      <c r="I77" s="50">
        <v>0.73324953599999998</v>
      </c>
      <c r="J77" s="50">
        <v>0.89309183999999997</v>
      </c>
      <c r="K77" s="50">
        <v>0.93567385599999997</v>
      </c>
      <c r="L77" s="50">
        <v>0.92214067200000005</v>
      </c>
      <c r="M77" s="50">
        <v>1.001701376</v>
      </c>
      <c r="N77" s="57"/>
    </row>
    <row r="78" spans="1:14">
      <c r="A78" s="51">
        <v>74</v>
      </c>
      <c r="B78" s="51" t="s">
        <v>90</v>
      </c>
      <c r="C78" s="48">
        <f>207519744/1000000000</f>
        <v>0.20751974400000001</v>
      </c>
      <c r="D78" s="47">
        <v>0.51398246400000003</v>
      </c>
      <c r="E78" s="54">
        <v>0.68468735999999997</v>
      </c>
      <c r="F78" s="54">
        <v>0.93352755200000004</v>
      </c>
      <c r="G78" s="54">
        <v>1.058619392</v>
      </c>
      <c r="I78" s="50">
        <v>0.68468735999999997</v>
      </c>
      <c r="J78" s="50">
        <v>0.90647756800000001</v>
      </c>
      <c r="K78" s="50">
        <v>1.044135936</v>
      </c>
      <c r="L78" s="50">
        <v>0.94683136000000001</v>
      </c>
      <c r="M78" s="50">
        <v>1.0686136319999999</v>
      </c>
      <c r="N78" s="57"/>
    </row>
    <row r="79" spans="1:14">
      <c r="A79" s="51">
        <v>75</v>
      </c>
      <c r="B79" s="51" t="s">
        <v>91</v>
      </c>
      <c r="C79" s="48">
        <f>260112384/1000000000</f>
        <v>0.26011238399999997</v>
      </c>
      <c r="D79" s="47">
        <v>0.61430169599999995</v>
      </c>
      <c r="E79" s="54">
        <v>0.80122675200000004</v>
      </c>
      <c r="F79" s="54">
        <v>1.0201661440000001</v>
      </c>
      <c r="G79" s="54">
        <v>1.0882580479999999</v>
      </c>
      <c r="I79" s="50">
        <v>0.80122675200000004</v>
      </c>
      <c r="J79" s="50">
        <v>1.0257858559999999</v>
      </c>
      <c r="K79" s="50">
        <v>1.026310144</v>
      </c>
      <c r="L79" s="50">
        <v>1.0011443200000001</v>
      </c>
      <c r="M79" s="50">
        <v>0.98575974399999999</v>
      </c>
      <c r="N79" s="57"/>
    </row>
    <row r="80" spans="1:14">
      <c r="A80" s="51">
        <v>76</v>
      </c>
      <c r="B80" s="51" t="s">
        <v>92</v>
      </c>
      <c r="C80" s="48">
        <f>86753280/1000000000</f>
        <v>8.6753280000000002E-2</v>
      </c>
      <c r="D80" s="47">
        <v>0.58864435199999998</v>
      </c>
      <c r="E80" s="54">
        <v>0.85739110399999996</v>
      </c>
      <c r="F80" s="54">
        <v>0.91326054400000001</v>
      </c>
      <c r="G80" s="54">
        <v>1.1492229119999999</v>
      </c>
      <c r="I80" s="50">
        <v>0.85739110399999996</v>
      </c>
      <c r="J80" s="50">
        <v>0.90963967999999995</v>
      </c>
      <c r="K80" s="50">
        <v>0.93162700799999998</v>
      </c>
      <c r="L80" s="50">
        <v>0.96103628799999996</v>
      </c>
      <c r="M80" s="50">
        <v>1.0249502720000001</v>
      </c>
      <c r="N80" s="57"/>
    </row>
    <row r="81" spans="1:14">
      <c r="A81" s="51">
        <v>77</v>
      </c>
      <c r="B81" s="51" t="s">
        <v>93</v>
      </c>
      <c r="C81" s="48">
        <f>165642240/1000000000</f>
        <v>0.16564224</v>
      </c>
      <c r="D81" s="47">
        <v>0.62436147200000003</v>
      </c>
      <c r="E81" s="54">
        <f>901824512/1000000000</f>
        <v>0.90182451200000002</v>
      </c>
      <c r="F81" s="54">
        <v>0.95982387199999997</v>
      </c>
      <c r="G81" s="54">
        <v>1.047461888</v>
      </c>
      <c r="I81" s="50">
        <v>0.90182451200000002</v>
      </c>
      <c r="J81" s="50">
        <v>0.92468019199999996</v>
      </c>
      <c r="K81" s="50">
        <v>0.91193343999999998</v>
      </c>
      <c r="L81" s="50">
        <v>1.0262937599999999</v>
      </c>
      <c r="M81" s="50">
        <v>1.0591928319999999</v>
      </c>
      <c r="N81" s="57"/>
    </row>
    <row r="82" spans="1:14">
      <c r="A82" s="51">
        <v>78</v>
      </c>
      <c r="B82" s="51" t="s">
        <v>94</v>
      </c>
      <c r="C82" s="48">
        <f>167100416/1000000000</f>
        <v>0.167100416</v>
      </c>
      <c r="D82" s="47">
        <f>717029376/1000000000</f>
        <v>0.71702937600000005</v>
      </c>
      <c r="E82" s="54">
        <v>0.78182809600000003</v>
      </c>
      <c r="F82" s="54">
        <v>0.96056115200000003</v>
      </c>
      <c r="G82" s="54">
        <v>1.0245406720000001</v>
      </c>
      <c r="I82" s="50">
        <v>0.78182809600000003</v>
      </c>
      <c r="J82" s="50">
        <v>0.78405632000000003</v>
      </c>
      <c r="K82" s="50">
        <v>0.98938060800000005</v>
      </c>
      <c r="L82" s="50">
        <v>1.0597007359999999</v>
      </c>
      <c r="M82" s="50">
        <v>1.039777792</v>
      </c>
      <c r="N82" s="59"/>
    </row>
    <row r="83" spans="1:14">
      <c r="A83" s="51">
        <v>79</v>
      </c>
      <c r="B83" s="51" t="s">
        <v>95</v>
      </c>
      <c r="C83" s="48">
        <f>162283520/1000000000</f>
        <v>0.16228351999999999</v>
      </c>
      <c r="D83" s="47">
        <f>802504704/1000000000</f>
        <v>0.80250470399999996</v>
      </c>
      <c r="E83" s="54">
        <v>0.78764441600000001</v>
      </c>
      <c r="F83" s="54">
        <v>1.0188881919999999</v>
      </c>
      <c r="G83" s="54">
        <v>0.92705587199999995</v>
      </c>
      <c r="I83" s="50">
        <v>0.78764441600000001</v>
      </c>
      <c r="J83" s="50">
        <v>0.90138214400000005</v>
      </c>
      <c r="K83" s="50">
        <v>0.88876646400000003</v>
      </c>
      <c r="L83" s="50">
        <v>0.99544268800000002</v>
      </c>
      <c r="M83" s="50">
        <v>0.91884748800000005</v>
      </c>
      <c r="N83" s="57"/>
    </row>
    <row r="84" spans="1:14">
      <c r="A84" s="51">
        <v>80</v>
      </c>
      <c r="B84" s="51" t="s">
        <v>593</v>
      </c>
      <c r="C84" s="48">
        <f>226656256/1000000000</f>
        <v>0.226656256</v>
      </c>
      <c r="D84" s="47">
        <v>0.59976908799999995</v>
      </c>
      <c r="E84" s="54">
        <f>844365824/1000000000</f>
        <v>0.84436582400000004</v>
      </c>
      <c r="F84" s="54">
        <v>0.91991244800000005</v>
      </c>
      <c r="G84" s="54">
        <v>1.0452828160000001</v>
      </c>
      <c r="I84" s="50">
        <v>0.84436582400000004</v>
      </c>
      <c r="J84" s="54">
        <v>0.88199987199999996</v>
      </c>
      <c r="K84" s="50">
        <v>0.95464652800000005</v>
      </c>
      <c r="L84" s="50">
        <v>1.058537472</v>
      </c>
      <c r="M84" s="50">
        <v>1.08716032</v>
      </c>
      <c r="N84" s="59"/>
    </row>
    <row r="85" spans="1:14">
      <c r="A85" s="51">
        <v>81</v>
      </c>
      <c r="B85" s="51" t="s">
        <v>97</v>
      </c>
      <c r="C85" s="48">
        <f>283066368/1000000000</f>
        <v>0.28306636800000001</v>
      </c>
      <c r="D85" s="47">
        <v>0.62131404800000001</v>
      </c>
      <c r="E85" s="54">
        <v>0.87107174399999998</v>
      </c>
      <c r="F85" s="54">
        <v>1.0392371199999999</v>
      </c>
      <c r="G85" s="54">
        <v>1.0535075840000001</v>
      </c>
      <c r="I85" s="50">
        <v>0.87107174399999998</v>
      </c>
      <c r="J85" s="50">
        <v>0.91756953600000002</v>
      </c>
      <c r="K85" s="50">
        <v>0.92055142400000001</v>
      </c>
      <c r="L85" s="50">
        <v>0.95651430400000004</v>
      </c>
      <c r="M85" s="50">
        <v>1.035108352</v>
      </c>
      <c r="N85" s="57"/>
    </row>
    <row r="86" spans="1:14">
      <c r="A86" s="51">
        <v>82</v>
      </c>
      <c r="B86" s="51" t="s">
        <v>98</v>
      </c>
      <c r="C86" s="48">
        <f>156958720/1000000000</f>
        <v>0.15695872</v>
      </c>
      <c r="D86" s="47">
        <v>0.57656934400000004</v>
      </c>
      <c r="E86" s="54">
        <v>0.84199014400000005</v>
      </c>
      <c r="F86" s="54">
        <v>0.90708377600000001</v>
      </c>
      <c r="G86" s="54">
        <v>0.95838208000000003</v>
      </c>
      <c r="I86" s="50">
        <v>0.84199014400000005</v>
      </c>
      <c r="J86" s="50">
        <v>1.085882368</v>
      </c>
      <c r="K86" s="50">
        <v>0.971128832</v>
      </c>
      <c r="L86" s="50">
        <v>0.96364134400000001</v>
      </c>
      <c r="M86" s="50">
        <v>0.99437772800000002</v>
      </c>
      <c r="N86" s="57"/>
    </row>
    <row r="87" spans="1:14">
      <c r="A87" s="51">
        <v>83</v>
      </c>
      <c r="B87" s="51" t="s">
        <v>595</v>
      </c>
      <c r="C87" s="48">
        <f>145358848/1000000000</f>
        <v>0.14535884800000001</v>
      </c>
      <c r="D87" s="47">
        <v>0.41592422400000001</v>
      </c>
      <c r="E87" s="54">
        <v>0.74978099200000003</v>
      </c>
      <c r="F87" s="54">
        <v>0.94035968000000003</v>
      </c>
      <c r="G87" s="54">
        <v>0.93596876799999995</v>
      </c>
      <c r="I87" s="50">
        <v>0.74978099200000003</v>
      </c>
      <c r="J87" s="50">
        <v>0.88213094400000003</v>
      </c>
      <c r="K87" s="54">
        <v>1.0063216639999999</v>
      </c>
      <c r="L87" s="50">
        <v>1.000390656</v>
      </c>
      <c r="M87" s="50">
        <v>0.985055232</v>
      </c>
      <c r="N87" s="57"/>
    </row>
    <row r="88" spans="1:14">
      <c r="A88" s="51">
        <v>84</v>
      </c>
      <c r="B88" s="51" t="s">
        <v>101</v>
      </c>
      <c r="C88" s="48">
        <f>169623552/1000000000</f>
        <v>0.16962355200000001</v>
      </c>
      <c r="D88" s="47">
        <v>0.62393548799999998</v>
      </c>
      <c r="E88" s="54">
        <f>881967104/1000000000</f>
        <v>0.881967104</v>
      </c>
      <c r="F88" s="54">
        <f>808583168/1000000000</f>
        <v>0.80858316799999996</v>
      </c>
      <c r="G88" s="54">
        <v>1.1288575999999999</v>
      </c>
      <c r="I88" s="50">
        <v>0.881967104</v>
      </c>
      <c r="J88" s="50">
        <v>0.84613529600000004</v>
      </c>
      <c r="K88" s="50">
        <v>0.96927744000000005</v>
      </c>
      <c r="L88" s="50">
        <v>0.978419712</v>
      </c>
      <c r="M88" s="50">
        <v>1.030897664</v>
      </c>
      <c r="N88" s="57"/>
    </row>
    <row r="89" spans="1:14">
      <c r="A89" s="51">
        <v>85</v>
      </c>
      <c r="B89" s="51" t="s">
        <v>102</v>
      </c>
      <c r="C89" s="48">
        <f>165953536/1000000000</f>
        <v>0.16595353600000001</v>
      </c>
      <c r="D89" s="47">
        <f>560922624/1000000000</f>
        <v>0.56092262400000004</v>
      </c>
      <c r="E89" s="54">
        <v>0.77104742400000004</v>
      </c>
      <c r="F89" s="54">
        <v>0.95494144000000003</v>
      </c>
      <c r="G89" s="54">
        <v>1.0745446400000001</v>
      </c>
      <c r="I89" s="50">
        <v>0.77104742400000004</v>
      </c>
      <c r="J89" s="50">
        <v>0.913965056</v>
      </c>
      <c r="K89" s="50">
        <v>0.97086668799999998</v>
      </c>
      <c r="L89" s="50">
        <v>0.99519692800000004</v>
      </c>
      <c r="M89" s="50">
        <v>1.0531307519999999</v>
      </c>
      <c r="N89" s="57"/>
    </row>
    <row r="90" spans="1:14">
      <c r="A90" s="51">
        <v>86</v>
      </c>
      <c r="B90" s="51" t="s">
        <v>104</v>
      </c>
      <c r="C90" s="48">
        <f>260653056/1000000000</f>
        <v>0.26065305599999999</v>
      </c>
      <c r="D90" s="47">
        <f>533413888/1000000000</f>
        <v>0.533413888</v>
      </c>
      <c r="E90" s="54">
        <f>806125568/1000000000</f>
        <v>0.80612556800000001</v>
      </c>
      <c r="F90" s="54">
        <v>0.89248563199999997</v>
      </c>
      <c r="G90" s="54">
        <v>1.00909056</v>
      </c>
      <c r="I90" s="50">
        <v>0.80612556800000001</v>
      </c>
      <c r="J90" s="50">
        <v>0.87266099200000002</v>
      </c>
      <c r="K90" s="50">
        <v>0.97443840000000004</v>
      </c>
      <c r="L90" s="50">
        <v>0.97782988800000004</v>
      </c>
      <c r="M90" s="50">
        <v>0.99683532799999996</v>
      </c>
      <c r="N90" s="57"/>
    </row>
    <row r="91" spans="1:14">
      <c r="A91" s="51">
        <v>87</v>
      </c>
      <c r="B91" s="51" t="s">
        <v>105</v>
      </c>
      <c r="C91" s="48">
        <f>177881088/1000000000</f>
        <v>0.17788108799999999</v>
      </c>
      <c r="D91" s="47">
        <v>0.57951846399999996</v>
      </c>
      <c r="E91" s="54">
        <v>0.80422502399999996</v>
      </c>
      <c r="F91" s="54">
        <v>0.93998284799999998</v>
      </c>
      <c r="G91" s="54">
        <v>1.055981568</v>
      </c>
      <c r="I91" s="50">
        <v>0.80422502399999996</v>
      </c>
      <c r="J91" s="50">
        <v>1.0502963199999999</v>
      </c>
      <c r="K91" s="50">
        <v>1.004863488</v>
      </c>
      <c r="L91" s="54">
        <v>1.122025472</v>
      </c>
      <c r="M91" s="50">
        <v>1.118994432</v>
      </c>
      <c r="N91" s="57"/>
    </row>
    <row r="92" spans="1:14">
      <c r="A92" s="51">
        <v>88</v>
      </c>
      <c r="B92" s="51" t="s">
        <v>106</v>
      </c>
      <c r="C92" s="48">
        <f>236601344/1000000000</f>
        <v>0.23660134399999999</v>
      </c>
      <c r="D92" s="47">
        <v>0.62545919999999999</v>
      </c>
      <c r="E92" s="54">
        <v>0.81936383999999995</v>
      </c>
      <c r="F92" s="54">
        <v>0.97257062400000005</v>
      </c>
      <c r="G92" s="54">
        <v>1.0674995199999999</v>
      </c>
      <c r="I92" s="50">
        <v>0.81936383999999995</v>
      </c>
      <c r="J92" s="50">
        <v>0.99819519999999995</v>
      </c>
      <c r="K92" s="50">
        <v>1.13590272</v>
      </c>
      <c r="L92" s="50">
        <v>1.0285711360000001</v>
      </c>
      <c r="M92" s="50">
        <v>0.96369049600000001</v>
      </c>
      <c r="N92" s="57"/>
    </row>
    <row r="93" spans="1:14">
      <c r="A93" s="51">
        <v>89</v>
      </c>
      <c r="B93" s="51" t="s">
        <v>107</v>
      </c>
      <c r="C93" s="48">
        <f>157466624/1000000000</f>
        <v>0.157466624</v>
      </c>
      <c r="D93" s="47">
        <v>0.66949939199999997</v>
      </c>
      <c r="E93" s="54">
        <v>0.82642534400000001</v>
      </c>
      <c r="F93" s="54">
        <v>1.103888384</v>
      </c>
      <c r="G93" s="54">
        <v>1.0257530880000001</v>
      </c>
      <c r="I93" s="50">
        <v>0.82642534400000001</v>
      </c>
      <c r="J93" s="50">
        <v>1.0673848319999999</v>
      </c>
      <c r="K93" s="50">
        <v>0.97589657600000002</v>
      </c>
      <c r="L93" s="50">
        <v>1.0422517760000001</v>
      </c>
      <c r="M93" s="50">
        <v>0.99280486400000001</v>
      </c>
      <c r="N93" s="57"/>
    </row>
    <row r="94" spans="1:14">
      <c r="A94" s="51">
        <v>90</v>
      </c>
      <c r="B94" s="51" t="s">
        <v>108</v>
      </c>
      <c r="C94" s="48">
        <f>226902016/1000000000</f>
        <v>0.22690201600000001</v>
      </c>
      <c r="D94" s="47">
        <v>0.54429286399999999</v>
      </c>
      <c r="E94" s="54">
        <v>0.72289484800000003</v>
      </c>
      <c r="F94" s="54">
        <v>0.86096281600000002</v>
      </c>
      <c r="G94" s="54">
        <v>1.029881856</v>
      </c>
      <c r="I94" s="50">
        <v>0.72289484800000003</v>
      </c>
      <c r="J94" s="50">
        <v>1.1545640960000001</v>
      </c>
      <c r="K94" s="50">
        <v>0.98962636800000003</v>
      </c>
      <c r="L94" s="50">
        <v>1.067433984</v>
      </c>
      <c r="M94" s="50">
        <v>0.99096985599999998</v>
      </c>
      <c r="N94" s="57"/>
    </row>
    <row r="95" spans="1:14">
      <c r="A95" s="51">
        <v>91</v>
      </c>
      <c r="B95" s="51" t="s">
        <v>109</v>
      </c>
      <c r="C95" s="48">
        <f>257605632/1000000000</f>
        <v>0.25760563199999997</v>
      </c>
      <c r="D95" s="47">
        <v>0.7811072</v>
      </c>
      <c r="E95" s="54">
        <v>0.83820543999999997</v>
      </c>
      <c r="F95" s="54">
        <v>0.98775859200000005</v>
      </c>
      <c r="G95" s="54">
        <v>1.03129088</v>
      </c>
      <c r="I95" s="50">
        <v>0.83820543999999997</v>
      </c>
      <c r="J95" s="50">
        <v>0.91878195200000001</v>
      </c>
      <c r="K95" s="50">
        <v>1.0040115199999999</v>
      </c>
      <c r="L95" s="50">
        <v>1.018707968</v>
      </c>
      <c r="M95" s="50">
        <v>1.012842496</v>
      </c>
      <c r="N95" s="57"/>
    </row>
    <row r="96" spans="1:14">
      <c r="A96" s="51">
        <v>92</v>
      </c>
      <c r="B96" s="51" t="s">
        <v>110</v>
      </c>
      <c r="C96" s="48">
        <f>394035200/1000000000</f>
        <v>0.39403519999999997</v>
      </c>
      <c r="D96" s="47">
        <v>0.67672473600000005</v>
      </c>
      <c r="E96" s="54">
        <v>0.77809254400000005</v>
      </c>
      <c r="F96" s="54">
        <v>0.95669452799999999</v>
      </c>
      <c r="G96" s="54">
        <v>1.1257118719999999</v>
      </c>
      <c r="I96" s="50">
        <v>0.77809254400000005</v>
      </c>
      <c r="J96" s="50">
        <v>1.002733568</v>
      </c>
      <c r="K96" s="50">
        <v>0.97350451199999999</v>
      </c>
      <c r="L96" s="50">
        <v>1.0964664319999999</v>
      </c>
      <c r="M96" s="50">
        <v>0.82021580800000005</v>
      </c>
      <c r="N96" s="57"/>
    </row>
    <row r="97" spans="1:20">
      <c r="A97" s="51">
        <v>93</v>
      </c>
      <c r="B97" s="51" t="s">
        <v>111</v>
      </c>
      <c r="C97" s="48">
        <f>292585472/1000000000</f>
        <v>0.29258547200000001</v>
      </c>
      <c r="D97" s="47">
        <v>0.597868544</v>
      </c>
      <c r="E97" s="54">
        <v>0.89980928000000004</v>
      </c>
      <c r="F97" s="54">
        <v>0.95109120000000003</v>
      </c>
      <c r="G97" s="54">
        <v>1.07298816</v>
      </c>
      <c r="I97" s="50">
        <v>0.89980928000000004</v>
      </c>
      <c r="J97" s="50">
        <v>0.93116825599999997</v>
      </c>
      <c r="K97" s="50">
        <v>0.95990579200000004</v>
      </c>
      <c r="L97" s="50">
        <v>1.0496737279999999</v>
      </c>
      <c r="M97" s="50">
        <v>0.89915392000000005</v>
      </c>
      <c r="N97" s="57"/>
    </row>
    <row r="98" spans="1:20">
      <c r="A98" s="51">
        <v>94</v>
      </c>
      <c r="B98" s="51" t="s">
        <v>114</v>
      </c>
      <c r="C98" s="48">
        <f>195821568/1000000000</f>
        <v>0.195821568</v>
      </c>
      <c r="D98" s="47">
        <v>0.80506060800000001</v>
      </c>
      <c r="E98" s="54">
        <v>0.82634342400000005</v>
      </c>
      <c r="F98" s="54">
        <v>0.93641113600000003</v>
      </c>
      <c r="G98" s="54">
        <v>0.96010240000000002</v>
      </c>
      <c r="I98" s="50">
        <v>0.82634342400000005</v>
      </c>
      <c r="J98" s="50">
        <v>0.93287219200000004</v>
      </c>
      <c r="K98" s="50">
        <v>1.02146048</v>
      </c>
      <c r="L98" s="50">
        <v>1.0717265920000001</v>
      </c>
      <c r="M98" s="50">
        <v>0.99018342400000003</v>
      </c>
      <c r="N98" s="57"/>
    </row>
    <row r="99" spans="1:20">
      <c r="A99" s="51">
        <v>95</v>
      </c>
      <c r="B99" s="51" t="s">
        <v>115</v>
      </c>
      <c r="C99" s="48">
        <f>191332352/1000000000</f>
        <v>0.19133235200000001</v>
      </c>
      <c r="D99" s="47">
        <v>0.73054617600000005</v>
      </c>
      <c r="E99" s="54">
        <v>0.90288947200000003</v>
      </c>
      <c r="F99" s="54">
        <v>0.98377727999999998</v>
      </c>
      <c r="G99" s="54">
        <v>1.092861952</v>
      </c>
      <c r="I99" s="50">
        <v>0.90288947200000003</v>
      </c>
      <c r="J99" s="50">
        <v>0.96685260799999995</v>
      </c>
      <c r="K99" s="50">
        <v>1.033306112</v>
      </c>
      <c r="L99" s="50">
        <v>0.98149990399999998</v>
      </c>
      <c r="M99" s="50">
        <v>1.0654515200000001</v>
      </c>
      <c r="N99" s="57"/>
    </row>
    <row r="100" spans="1:20">
      <c r="A100" s="51">
        <v>96</v>
      </c>
      <c r="B100" s="51" t="s">
        <v>116</v>
      </c>
      <c r="C100" s="48">
        <f>180764672/1000000000</f>
        <v>0.18076467199999999</v>
      </c>
      <c r="D100" s="47">
        <f>612417536/1000000000</f>
        <v>0.61241753600000004</v>
      </c>
      <c r="E100" s="54">
        <v>0.82021580800000005</v>
      </c>
      <c r="F100" s="54">
        <v>0.97248870399999998</v>
      </c>
      <c r="G100" s="54">
        <v>1.071562752</v>
      </c>
      <c r="I100" s="50">
        <v>0.82021580800000005</v>
      </c>
      <c r="J100" s="50">
        <v>1.1240898560000001</v>
      </c>
      <c r="K100" s="50">
        <v>0.91802828800000003</v>
      </c>
      <c r="L100" s="50">
        <v>0.93390438399999998</v>
      </c>
      <c r="M100" s="50">
        <v>1.094270976</v>
      </c>
      <c r="N100" s="59"/>
    </row>
    <row r="101" spans="1:20">
      <c r="A101" s="51">
        <v>97</v>
      </c>
      <c r="B101" s="51" t="s">
        <v>117</v>
      </c>
      <c r="C101" s="48">
        <f>149831680/1000000000</f>
        <v>0.14983167999999999</v>
      </c>
      <c r="D101" s="47">
        <v>0.31105023999999998</v>
      </c>
      <c r="E101" s="54">
        <v>0.83107839999999999</v>
      </c>
      <c r="F101" s="54">
        <v>0.96093798399999997</v>
      </c>
      <c r="G101" s="54">
        <v>1.0820648960000001</v>
      </c>
      <c r="I101" s="50">
        <v>0.83107839999999999</v>
      </c>
      <c r="J101" s="50">
        <v>0.90416742400000005</v>
      </c>
      <c r="K101" s="50">
        <v>0.96018431999999998</v>
      </c>
      <c r="L101" s="54">
        <v>1.1555799040000001</v>
      </c>
      <c r="M101" s="50">
        <v>1.07757568</v>
      </c>
      <c r="N101" s="57"/>
    </row>
    <row r="102" spans="1:20">
      <c r="A102" s="51">
        <v>98</v>
      </c>
      <c r="B102" s="51" t="s">
        <v>119</v>
      </c>
      <c r="C102" s="48">
        <f>195624960/1000000000</f>
        <v>0.19562495999999999</v>
      </c>
      <c r="D102" s="47">
        <v>0.41715302399999998</v>
      </c>
      <c r="E102" s="54">
        <v>0.88080384</v>
      </c>
      <c r="F102" s="54">
        <v>0.99026534399999999</v>
      </c>
      <c r="G102" s="54">
        <v>1.026637824</v>
      </c>
      <c r="I102" s="50">
        <v>0.88080384</v>
      </c>
      <c r="J102" s="50">
        <v>0.87138304</v>
      </c>
      <c r="K102" s="50">
        <v>0.94119526399999998</v>
      </c>
      <c r="L102" s="50">
        <v>1.0597990399999999</v>
      </c>
      <c r="M102" s="50">
        <v>1.1031019520000001</v>
      </c>
      <c r="N102" s="59"/>
    </row>
    <row r="103" spans="1:20">
      <c r="A103" s="51">
        <v>99</v>
      </c>
      <c r="B103" s="51" t="s">
        <v>120</v>
      </c>
      <c r="C103" s="48">
        <f>219004928/1000000000</f>
        <v>0.21900492799999999</v>
      </c>
      <c r="D103" s="47">
        <v>0.57986252800000004</v>
      </c>
      <c r="E103" s="54">
        <v>0.84213760000000004</v>
      </c>
      <c r="F103" s="54">
        <v>0.92302540799999999</v>
      </c>
      <c r="G103" s="54">
        <v>1.046347776</v>
      </c>
      <c r="I103" s="50">
        <v>0.84213760000000004</v>
      </c>
      <c r="J103" s="50">
        <v>0.90152960000000004</v>
      </c>
      <c r="K103" s="50">
        <v>1.0539008000000001</v>
      </c>
      <c r="L103" s="50">
        <v>1.0503618560000001</v>
      </c>
      <c r="M103" s="50">
        <v>1.0406625279999999</v>
      </c>
      <c r="N103" s="57"/>
    </row>
    <row r="104" spans="1:20">
      <c r="A104" s="51">
        <v>100</v>
      </c>
      <c r="B104" s="51" t="s">
        <v>121</v>
      </c>
      <c r="C104" s="58">
        <f>167395328/1000000000</f>
        <v>0.16739532800000001</v>
      </c>
      <c r="D104" s="49">
        <v>0.56447795199999995</v>
      </c>
      <c r="E104" s="50">
        <v>0.80219340800000005</v>
      </c>
      <c r="F104" s="50">
        <v>0.95028838400000004</v>
      </c>
      <c r="G104" s="50">
        <v>1.1033313279999999</v>
      </c>
      <c r="I104" s="50">
        <v>0.80219340800000005</v>
      </c>
      <c r="J104" s="50">
        <v>1.067925504</v>
      </c>
      <c r="K104" s="50">
        <v>0.98846310400000004</v>
      </c>
      <c r="L104" s="50">
        <v>1.0396631039999999</v>
      </c>
      <c r="M104" s="50">
        <v>1.02866944</v>
      </c>
      <c r="N104" s="57"/>
    </row>
    <row r="106" spans="1:20">
      <c r="A106" s="20"/>
      <c r="B106" s="20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20"/>
      <c r="O106" s="20"/>
      <c r="P106" s="20"/>
      <c r="Q106" s="20"/>
      <c r="R106" s="20"/>
      <c r="S106" s="20"/>
      <c r="T106" s="20"/>
    </row>
    <row r="107" spans="1:20">
      <c r="A107" s="20"/>
      <c r="B107" s="20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20"/>
      <c r="O107" s="20"/>
      <c r="P107" s="20"/>
      <c r="Q107" s="20"/>
      <c r="R107" s="20"/>
      <c r="S107" s="20"/>
      <c r="T107" s="20"/>
    </row>
    <row r="108" spans="1:20">
      <c r="C108" s="47"/>
      <c r="D108" s="47"/>
      <c r="E108" s="47"/>
      <c r="F108" s="47"/>
      <c r="G108" s="47"/>
    </row>
  </sheetData>
  <mergeCells count="3">
    <mergeCell ref="C3:G3"/>
    <mergeCell ref="I3:M3"/>
    <mergeCell ref="A1:M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FB3EA-6F83-614F-BBDB-86ACB3BA7B58}">
  <dimension ref="A1:G15"/>
  <sheetViews>
    <sheetView zoomScale="137" workbookViewId="0">
      <selection activeCell="D14" sqref="D14"/>
    </sheetView>
  </sheetViews>
  <sheetFormatPr baseColWidth="10" defaultRowHeight="20"/>
  <cols>
    <col min="1" max="1" width="18.5703125" customWidth="1"/>
    <col min="2" max="2" width="13.28515625" customWidth="1"/>
  </cols>
  <sheetData>
    <row r="1" spans="1:7" s="24" customFormat="1" ht="16">
      <c r="A1" s="67" t="s">
        <v>613</v>
      </c>
      <c r="B1" s="67"/>
      <c r="C1" s="67"/>
      <c r="D1" s="67"/>
      <c r="E1" s="67"/>
      <c r="F1" s="67"/>
      <c r="G1" s="67"/>
    </row>
    <row r="2" spans="1:7">
      <c r="A2" s="67"/>
      <c r="B2" s="67"/>
      <c r="C2" s="67"/>
      <c r="D2" s="67"/>
      <c r="E2" s="67"/>
      <c r="F2" s="67"/>
      <c r="G2" s="67"/>
    </row>
    <row r="3" spans="1:7">
      <c r="A3" s="22" t="s">
        <v>430</v>
      </c>
      <c r="B3" s="23" t="s">
        <v>443</v>
      </c>
    </row>
    <row r="4" spans="1:7">
      <c r="A4" s="21" t="s">
        <v>431</v>
      </c>
      <c r="B4" s="24">
        <v>430</v>
      </c>
    </row>
    <row r="5" spans="1:7">
      <c r="A5" s="21" t="s">
        <v>432</v>
      </c>
      <c r="B5" s="63">
        <v>9445</v>
      </c>
    </row>
    <row r="6" spans="1:7">
      <c r="A6" s="21" t="s">
        <v>433</v>
      </c>
      <c r="B6" s="63">
        <v>12621</v>
      </c>
    </row>
    <row r="7" spans="1:7">
      <c r="A7" s="21" t="s">
        <v>434</v>
      </c>
      <c r="B7" s="63">
        <v>9203</v>
      </c>
    </row>
    <row r="8" spans="1:7">
      <c r="A8" s="21" t="s">
        <v>435</v>
      </c>
      <c r="B8" s="63">
        <v>7332</v>
      </c>
    </row>
    <row r="9" spans="1:7">
      <c r="A9" s="21" t="s">
        <v>436</v>
      </c>
      <c r="B9" s="63">
        <v>1187</v>
      </c>
    </row>
    <row r="10" spans="1:7">
      <c r="A10" s="21" t="s">
        <v>437</v>
      </c>
      <c r="B10" s="24">
        <v>803</v>
      </c>
    </row>
    <row r="11" spans="1:7">
      <c r="A11" s="21" t="s">
        <v>438</v>
      </c>
      <c r="B11" s="24">
        <v>331</v>
      </c>
    </row>
    <row r="12" spans="1:7">
      <c r="A12" s="21" t="s">
        <v>439</v>
      </c>
      <c r="B12" s="63">
        <v>5869</v>
      </c>
    </row>
    <row r="13" spans="1:7">
      <c r="A13" s="21" t="s">
        <v>440</v>
      </c>
      <c r="B13" s="24">
        <v>138</v>
      </c>
    </row>
    <row r="14" spans="1:7">
      <c r="A14" s="21" t="s">
        <v>441</v>
      </c>
      <c r="B14" s="24">
        <v>145</v>
      </c>
    </row>
    <row r="15" spans="1:7">
      <c r="A15" s="21" t="s">
        <v>442</v>
      </c>
      <c r="B15" s="63">
        <v>3090</v>
      </c>
    </row>
  </sheetData>
  <mergeCells count="1">
    <mergeCell ref="A1:G2"/>
  </mergeCells>
  <phoneticPr fontId="1"/>
  <pageMargins left="0.7" right="0.7" top="0.75" bottom="0.75" header="0.3" footer="0.3"/>
  <pageSetup paperSize="9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0F338-C5CB-134B-973F-9B101F98946D}">
  <dimension ref="A1:D33"/>
  <sheetViews>
    <sheetView workbookViewId="0">
      <selection activeCell="G10" sqref="G10"/>
    </sheetView>
  </sheetViews>
  <sheetFormatPr baseColWidth="10" defaultRowHeight="20"/>
  <cols>
    <col min="2" max="2" width="17" customWidth="1"/>
    <col min="3" max="3" width="47.42578125" customWidth="1"/>
    <col min="4" max="4" width="13.42578125" customWidth="1"/>
    <col min="8" max="8" width="15.85546875" customWidth="1"/>
  </cols>
  <sheetData>
    <row r="1" spans="1:4">
      <c r="A1" s="67" t="s">
        <v>614</v>
      </c>
      <c r="B1" s="67"/>
      <c r="C1" s="67"/>
      <c r="D1" s="67"/>
    </row>
    <row r="2" spans="1:4">
      <c r="A2" s="67"/>
      <c r="B2" s="67"/>
      <c r="C2" s="67"/>
      <c r="D2" s="67"/>
    </row>
    <row r="3" spans="1:4">
      <c r="A3" s="24" t="s">
        <v>449</v>
      </c>
    </row>
    <row r="4" spans="1:4">
      <c r="B4" s="64" t="s">
        <v>317</v>
      </c>
      <c r="C4" s="64" t="s">
        <v>451</v>
      </c>
      <c r="D4" s="64" t="s">
        <v>483</v>
      </c>
    </row>
    <row r="5" spans="1:4">
      <c r="B5" s="16" t="s">
        <v>305</v>
      </c>
      <c r="C5" s="28" t="s">
        <v>454</v>
      </c>
      <c r="D5" s="24" t="s">
        <v>485</v>
      </c>
    </row>
    <row r="6" spans="1:4">
      <c r="B6" s="16" t="s">
        <v>452</v>
      </c>
      <c r="C6" s="24" t="s">
        <v>486</v>
      </c>
      <c r="D6" s="24" t="s">
        <v>487</v>
      </c>
    </row>
    <row r="7" spans="1:4">
      <c r="B7" s="16" t="s">
        <v>307</v>
      </c>
      <c r="C7" s="24" t="s">
        <v>457</v>
      </c>
      <c r="D7" s="24"/>
    </row>
    <row r="8" spans="1:4">
      <c r="B8" s="16" t="s">
        <v>309</v>
      </c>
      <c r="C8" s="24" t="s">
        <v>459</v>
      </c>
      <c r="D8" s="24" t="s">
        <v>485</v>
      </c>
    </row>
    <row r="9" spans="1:4">
      <c r="B9" s="16" t="s">
        <v>311</v>
      </c>
      <c r="C9" s="28" t="s">
        <v>465</v>
      </c>
      <c r="D9" s="24" t="s">
        <v>485</v>
      </c>
    </row>
    <row r="10" spans="1:4">
      <c r="B10" s="16" t="s">
        <v>448</v>
      </c>
      <c r="C10" s="28" t="s">
        <v>460</v>
      </c>
      <c r="D10" s="24" t="s">
        <v>485</v>
      </c>
    </row>
    <row r="11" spans="1:4">
      <c r="B11" s="16" t="s">
        <v>312</v>
      </c>
      <c r="C11" s="24" t="s">
        <v>468</v>
      </c>
      <c r="D11" s="24" t="s">
        <v>485</v>
      </c>
    </row>
    <row r="12" spans="1:4">
      <c r="A12" s="26"/>
      <c r="B12" s="24"/>
      <c r="C12" s="24"/>
      <c r="D12" s="24"/>
    </row>
    <row r="13" spans="1:4">
      <c r="A13" s="27" t="s">
        <v>450</v>
      </c>
      <c r="B13" s="24"/>
      <c r="C13" s="24"/>
      <c r="D13" s="24"/>
    </row>
    <row r="14" spans="1:4">
      <c r="B14" s="64" t="s">
        <v>317</v>
      </c>
      <c r="C14" s="64" t="s">
        <v>451</v>
      </c>
      <c r="D14" s="60"/>
    </row>
    <row r="15" spans="1:4">
      <c r="B15" s="16" t="s">
        <v>306</v>
      </c>
      <c r="C15" s="24" t="s">
        <v>486</v>
      </c>
      <c r="D15" s="24" t="s">
        <v>487</v>
      </c>
    </row>
    <row r="16" spans="1:4">
      <c r="B16" s="16" t="s">
        <v>461</v>
      </c>
      <c r="C16" s="24" t="s">
        <v>462</v>
      </c>
      <c r="D16" s="27" t="s">
        <v>484</v>
      </c>
    </row>
    <row r="17" spans="1:4">
      <c r="B17" s="16" t="s">
        <v>308</v>
      </c>
      <c r="C17" s="24" t="s">
        <v>488</v>
      </c>
      <c r="D17" s="24" t="s">
        <v>489</v>
      </c>
    </row>
    <row r="18" spans="1:4">
      <c r="B18" s="16" t="s">
        <v>310</v>
      </c>
      <c r="C18" s="28" t="s">
        <v>464</v>
      </c>
      <c r="D18" s="27" t="s">
        <v>484</v>
      </c>
    </row>
    <row r="19" spans="1:4">
      <c r="B19" s="16" t="s">
        <v>466</v>
      </c>
      <c r="C19" s="24" t="s">
        <v>467</v>
      </c>
      <c r="D19" s="27" t="s">
        <v>484</v>
      </c>
    </row>
    <row r="20" spans="1:4">
      <c r="B20" s="16" t="s">
        <v>469</v>
      </c>
      <c r="C20" s="24" t="s">
        <v>470</v>
      </c>
      <c r="D20" s="27" t="s">
        <v>484</v>
      </c>
    </row>
    <row r="21" spans="1:4">
      <c r="B21" s="16" t="s">
        <v>313</v>
      </c>
      <c r="C21" s="24" t="s">
        <v>471</v>
      </c>
      <c r="D21" s="27" t="s">
        <v>484</v>
      </c>
    </row>
    <row r="22" spans="1:4">
      <c r="B22" s="16" t="s">
        <v>312</v>
      </c>
      <c r="C22" s="24" t="s">
        <v>468</v>
      </c>
      <c r="D22" s="27" t="s">
        <v>484</v>
      </c>
    </row>
    <row r="23" spans="1:4">
      <c r="B23" s="16" t="s">
        <v>314</v>
      </c>
      <c r="C23" s="24" t="s">
        <v>472</v>
      </c>
      <c r="D23" s="27" t="s">
        <v>484</v>
      </c>
    </row>
    <row r="24" spans="1:4">
      <c r="B24" s="16" t="s">
        <v>315</v>
      </c>
      <c r="C24" s="24" t="s">
        <v>473</v>
      </c>
      <c r="D24" s="27" t="s">
        <v>484</v>
      </c>
    </row>
    <row r="25" spans="1:4">
      <c r="B25" s="16" t="s">
        <v>474</v>
      </c>
      <c r="C25" s="24" t="s">
        <v>475</v>
      </c>
      <c r="D25" s="27" t="s">
        <v>484</v>
      </c>
    </row>
    <row r="26" spans="1:4">
      <c r="B26" s="16" t="s">
        <v>476</v>
      </c>
      <c r="C26" s="24" t="s">
        <v>477</v>
      </c>
      <c r="D26" s="27" t="s">
        <v>484</v>
      </c>
    </row>
    <row r="28" spans="1:4">
      <c r="A28" s="24" t="s">
        <v>453</v>
      </c>
    </row>
    <row r="29" spans="1:4">
      <c r="A29" s="29" t="s">
        <v>456</v>
      </c>
    </row>
    <row r="30" spans="1:4">
      <c r="A30" s="29" t="s">
        <v>455</v>
      </c>
    </row>
    <row r="31" spans="1:4">
      <c r="A31" s="24" t="s">
        <v>463</v>
      </c>
    </row>
    <row r="33" spans="1:1">
      <c r="A33" s="24" t="s">
        <v>458</v>
      </c>
    </row>
  </sheetData>
  <mergeCells count="1">
    <mergeCell ref="A1:D2"/>
  </mergeCells>
  <phoneticPr fontId="1"/>
  <pageMargins left="0.7" right="0.7" top="0.75" bottom="0.75" header="0.3" footer="0.3"/>
  <pageSetup paperSize="9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0880A-E433-294C-8AAD-B00C63E74327}">
  <dimension ref="A1:G38"/>
  <sheetViews>
    <sheetView zoomScale="125" workbookViewId="0">
      <selection activeCell="I9" sqref="I9"/>
    </sheetView>
  </sheetViews>
  <sheetFormatPr baseColWidth="10" defaultRowHeight="20"/>
  <cols>
    <col min="1" max="1" width="15.28515625" customWidth="1"/>
    <col min="2" max="3" width="13.42578125" customWidth="1"/>
    <col min="4" max="4" width="6.5703125" customWidth="1"/>
    <col min="5" max="5" width="15.85546875" customWidth="1"/>
    <col min="6" max="6" width="13.42578125" customWidth="1"/>
    <col min="7" max="7" width="13.7109375" customWidth="1"/>
  </cols>
  <sheetData>
    <row r="1" spans="1:7">
      <c r="A1" s="67" t="s">
        <v>615</v>
      </c>
      <c r="B1" s="67"/>
      <c r="C1" s="67"/>
      <c r="D1" s="67"/>
      <c r="E1" s="67"/>
      <c r="F1" s="67"/>
      <c r="G1" s="67"/>
    </row>
    <row r="2" spans="1:7">
      <c r="A2" s="67"/>
      <c r="B2" s="67"/>
      <c r="C2" s="67"/>
      <c r="D2" s="67"/>
      <c r="E2" s="67"/>
      <c r="F2" s="67"/>
      <c r="G2" s="67"/>
    </row>
    <row r="3" spans="1:7">
      <c r="A3" s="83" t="s">
        <v>303</v>
      </c>
      <c r="B3" s="83"/>
      <c r="C3" s="25"/>
      <c r="E3" s="25" t="s">
        <v>304</v>
      </c>
      <c r="F3" s="19"/>
    </row>
    <row r="4" spans="1:7">
      <c r="A4" s="31" t="s">
        <v>318</v>
      </c>
      <c r="B4" s="31" t="s">
        <v>316</v>
      </c>
      <c r="C4" s="31" t="s">
        <v>479</v>
      </c>
      <c r="E4" s="31" t="s">
        <v>318</v>
      </c>
      <c r="F4" s="31" t="s">
        <v>316</v>
      </c>
      <c r="G4" s="31" t="s">
        <v>479</v>
      </c>
    </row>
    <row r="5" spans="1:7">
      <c r="A5" s="5" t="s">
        <v>478</v>
      </c>
      <c r="B5" s="17" t="s">
        <v>319</v>
      </c>
      <c r="C5" s="5" t="s">
        <v>480</v>
      </c>
      <c r="E5" s="5" t="s">
        <v>320</v>
      </c>
      <c r="F5" s="17" t="s">
        <v>321</v>
      </c>
      <c r="G5" s="5" t="s">
        <v>480</v>
      </c>
    </row>
    <row r="6" spans="1:7">
      <c r="A6" s="5" t="s">
        <v>322</v>
      </c>
      <c r="B6" s="17" t="s">
        <v>323</v>
      </c>
      <c r="C6" s="5" t="s">
        <v>480</v>
      </c>
      <c r="E6" s="5" t="s">
        <v>324</v>
      </c>
      <c r="F6" s="17" t="s">
        <v>325</v>
      </c>
      <c r="G6" s="5" t="s">
        <v>480</v>
      </c>
    </row>
    <row r="7" spans="1:7">
      <c r="A7" s="5" t="s">
        <v>326</v>
      </c>
      <c r="B7" s="17" t="s">
        <v>327</v>
      </c>
      <c r="C7" s="5" t="s">
        <v>480</v>
      </c>
      <c r="E7" s="5" t="s">
        <v>328</v>
      </c>
      <c r="F7" s="17" t="s">
        <v>329</v>
      </c>
      <c r="G7" s="5" t="s">
        <v>480</v>
      </c>
    </row>
    <row r="8" spans="1:7">
      <c r="A8" s="5" t="s">
        <v>330</v>
      </c>
      <c r="B8" s="17" t="s">
        <v>331</v>
      </c>
      <c r="C8" s="5" t="s">
        <v>480</v>
      </c>
      <c r="E8" s="5" t="s">
        <v>332</v>
      </c>
      <c r="F8" s="17" t="s">
        <v>333</v>
      </c>
      <c r="G8" s="5" t="s">
        <v>480</v>
      </c>
    </row>
    <row r="9" spans="1:7">
      <c r="A9" s="5" t="s">
        <v>334</v>
      </c>
      <c r="B9" s="17" t="s">
        <v>335</v>
      </c>
      <c r="C9" s="5" t="s">
        <v>480</v>
      </c>
      <c r="E9" s="5" t="s">
        <v>336</v>
      </c>
      <c r="F9" s="17" t="s">
        <v>337</v>
      </c>
      <c r="G9" s="5" t="s">
        <v>480</v>
      </c>
    </row>
    <row r="10" spans="1:7">
      <c r="A10" s="5" t="s">
        <v>338</v>
      </c>
      <c r="B10" s="17" t="s">
        <v>339</v>
      </c>
      <c r="C10" s="5" t="s">
        <v>480</v>
      </c>
      <c r="E10" s="5" t="s">
        <v>340</v>
      </c>
      <c r="F10" s="17" t="s">
        <v>341</v>
      </c>
      <c r="G10" s="5" t="s">
        <v>480</v>
      </c>
    </row>
    <row r="11" spans="1:7">
      <c r="A11" s="5" t="s">
        <v>342</v>
      </c>
      <c r="B11" s="17" t="s">
        <v>343</v>
      </c>
      <c r="C11" s="5" t="s">
        <v>480</v>
      </c>
      <c r="E11" s="5" t="s">
        <v>344</v>
      </c>
      <c r="F11" s="17" t="s">
        <v>345</v>
      </c>
      <c r="G11" s="5" t="s">
        <v>480</v>
      </c>
    </row>
    <row r="12" spans="1:7">
      <c r="A12" s="5" t="s">
        <v>346</v>
      </c>
      <c r="B12" s="17" t="s">
        <v>347</v>
      </c>
      <c r="C12" s="5" t="s">
        <v>480</v>
      </c>
      <c r="E12" s="5" t="s">
        <v>348</v>
      </c>
      <c r="F12" s="17" t="s">
        <v>349</v>
      </c>
      <c r="G12" s="5" t="s">
        <v>480</v>
      </c>
    </row>
    <row r="13" spans="1:7">
      <c r="A13" s="5" t="s">
        <v>350</v>
      </c>
      <c r="B13" s="17" t="s">
        <v>345</v>
      </c>
      <c r="C13" s="5" t="s">
        <v>480</v>
      </c>
      <c r="E13" s="5" t="s">
        <v>351</v>
      </c>
      <c r="F13" s="17" t="s">
        <v>352</v>
      </c>
      <c r="G13" s="5" t="s">
        <v>480</v>
      </c>
    </row>
    <row r="14" spans="1:7">
      <c r="A14" s="5" t="s">
        <v>353</v>
      </c>
      <c r="B14" s="17" t="s">
        <v>354</v>
      </c>
      <c r="C14" s="5" t="s">
        <v>480</v>
      </c>
      <c r="E14" s="5" t="s">
        <v>355</v>
      </c>
      <c r="F14" s="17" t="s">
        <v>356</v>
      </c>
      <c r="G14" s="5" t="s">
        <v>480</v>
      </c>
    </row>
    <row r="15" spans="1:7">
      <c r="A15" s="5" t="s">
        <v>355</v>
      </c>
      <c r="B15" s="17" t="s">
        <v>356</v>
      </c>
      <c r="C15" s="5" t="s">
        <v>480</v>
      </c>
      <c r="E15" s="5" t="s">
        <v>357</v>
      </c>
      <c r="F15" s="17" t="s">
        <v>358</v>
      </c>
      <c r="G15" s="5" t="s">
        <v>480</v>
      </c>
    </row>
    <row r="16" spans="1:7">
      <c r="A16" s="5" t="s">
        <v>359</v>
      </c>
      <c r="B16" s="17" t="s">
        <v>360</v>
      </c>
      <c r="C16" s="5" t="s">
        <v>480</v>
      </c>
      <c r="E16" s="5" t="s">
        <v>361</v>
      </c>
      <c r="F16" s="17" t="s">
        <v>362</v>
      </c>
      <c r="G16" s="5" t="s">
        <v>480</v>
      </c>
    </row>
    <row r="17" spans="1:7">
      <c r="A17" s="5" t="s">
        <v>363</v>
      </c>
      <c r="B17" s="17" t="s">
        <v>358</v>
      </c>
      <c r="C17" s="5" t="s">
        <v>480</v>
      </c>
      <c r="E17" s="5" t="s">
        <v>364</v>
      </c>
      <c r="F17" s="17" t="s">
        <v>365</v>
      </c>
      <c r="G17" s="5" t="s">
        <v>480</v>
      </c>
    </row>
    <row r="18" spans="1:7">
      <c r="A18" s="5" t="s">
        <v>366</v>
      </c>
      <c r="B18" s="17" t="s">
        <v>367</v>
      </c>
      <c r="C18" s="5" t="s">
        <v>480</v>
      </c>
      <c r="E18" s="5" t="s">
        <v>368</v>
      </c>
      <c r="F18" s="17" t="s">
        <v>367</v>
      </c>
      <c r="G18" s="5" t="s">
        <v>480</v>
      </c>
    </row>
    <row r="19" spans="1:7">
      <c r="A19" s="5" t="s">
        <v>369</v>
      </c>
      <c r="B19" s="17" t="s">
        <v>370</v>
      </c>
      <c r="C19" s="5" t="s">
        <v>480</v>
      </c>
      <c r="E19" s="5" t="s">
        <v>371</v>
      </c>
      <c r="F19" s="17" t="s">
        <v>372</v>
      </c>
      <c r="G19" s="5" t="s">
        <v>480</v>
      </c>
    </row>
    <row r="20" spans="1:7">
      <c r="A20" s="5" t="s">
        <v>373</v>
      </c>
      <c r="B20" s="17" t="s">
        <v>374</v>
      </c>
      <c r="C20" s="5" t="s">
        <v>480</v>
      </c>
      <c r="E20" s="5" t="s">
        <v>369</v>
      </c>
      <c r="F20" s="17" t="s">
        <v>370</v>
      </c>
      <c r="G20" s="5" t="s">
        <v>480</v>
      </c>
    </row>
    <row r="21" spans="1:7">
      <c r="A21" s="5" t="s">
        <v>375</v>
      </c>
      <c r="B21" s="17" t="s">
        <v>376</v>
      </c>
      <c r="C21" s="5" t="s">
        <v>480</v>
      </c>
      <c r="E21" s="5" t="s">
        <v>377</v>
      </c>
      <c r="F21" s="17" t="s">
        <v>378</v>
      </c>
      <c r="G21" s="5" t="s">
        <v>480</v>
      </c>
    </row>
    <row r="22" spans="1:7">
      <c r="A22" s="5" t="s">
        <v>379</v>
      </c>
      <c r="B22" s="17" t="s">
        <v>380</v>
      </c>
      <c r="C22" s="5" t="s">
        <v>480</v>
      </c>
      <c r="E22" s="5" t="s">
        <v>381</v>
      </c>
      <c r="F22" s="17" t="s">
        <v>382</v>
      </c>
      <c r="G22" s="5" t="s">
        <v>480</v>
      </c>
    </row>
    <row r="23" spans="1:7">
      <c r="A23" s="5" t="s">
        <v>383</v>
      </c>
      <c r="B23" s="17" t="s">
        <v>384</v>
      </c>
      <c r="C23" s="5" t="s">
        <v>480</v>
      </c>
      <c r="E23" s="5" t="s">
        <v>385</v>
      </c>
      <c r="F23" s="17" t="s">
        <v>386</v>
      </c>
      <c r="G23" s="5" t="s">
        <v>480</v>
      </c>
    </row>
    <row r="24" spans="1:7">
      <c r="A24" s="5" t="s">
        <v>387</v>
      </c>
      <c r="B24" s="17" t="s">
        <v>388</v>
      </c>
      <c r="C24" s="5" t="s">
        <v>480</v>
      </c>
      <c r="E24" s="5" t="s">
        <v>387</v>
      </c>
      <c r="F24" s="17" t="s">
        <v>388</v>
      </c>
      <c r="G24" s="5" t="s">
        <v>480</v>
      </c>
    </row>
    <row r="25" spans="1:7">
      <c r="A25" s="5" t="s">
        <v>389</v>
      </c>
      <c r="B25" s="17" t="s">
        <v>390</v>
      </c>
      <c r="C25" s="5" t="s">
        <v>480</v>
      </c>
      <c r="E25" s="5" t="s">
        <v>391</v>
      </c>
      <c r="F25" s="17" t="s">
        <v>392</v>
      </c>
      <c r="G25" s="5" t="s">
        <v>480</v>
      </c>
    </row>
    <row r="26" spans="1:7">
      <c r="A26" s="5" t="s">
        <v>393</v>
      </c>
      <c r="B26" s="17" t="s">
        <v>394</v>
      </c>
      <c r="C26" s="5" t="s">
        <v>480</v>
      </c>
      <c r="E26" s="5" t="s">
        <v>395</v>
      </c>
      <c r="F26" s="17" t="s">
        <v>396</v>
      </c>
      <c r="G26" s="5" t="s">
        <v>480</v>
      </c>
    </row>
    <row r="27" spans="1:7">
      <c r="A27" s="5" t="s">
        <v>397</v>
      </c>
      <c r="B27" s="17" t="s">
        <v>398</v>
      </c>
      <c r="C27" s="5" t="s">
        <v>480</v>
      </c>
      <c r="E27" s="5" t="s">
        <v>399</v>
      </c>
      <c r="F27" s="17" t="s">
        <v>400</v>
      </c>
      <c r="G27" s="5" t="s">
        <v>480</v>
      </c>
    </row>
    <row r="28" spans="1:7">
      <c r="A28" s="5" t="s">
        <v>401</v>
      </c>
      <c r="B28" s="17" t="s">
        <v>400</v>
      </c>
      <c r="C28" s="5" t="s">
        <v>480</v>
      </c>
      <c r="E28" s="5" t="s">
        <v>402</v>
      </c>
      <c r="F28" s="17" t="s">
        <v>481</v>
      </c>
      <c r="G28" s="5" t="s">
        <v>535</v>
      </c>
    </row>
    <row r="29" spans="1:7">
      <c r="A29" s="5" t="s">
        <v>402</v>
      </c>
      <c r="B29" s="17" t="s">
        <v>481</v>
      </c>
      <c r="C29" s="5" t="s">
        <v>535</v>
      </c>
      <c r="E29" s="5" t="s">
        <v>403</v>
      </c>
      <c r="F29" s="17" t="s">
        <v>404</v>
      </c>
      <c r="G29" s="5" t="s">
        <v>480</v>
      </c>
    </row>
    <row r="30" spans="1:7">
      <c r="A30" s="5" t="s">
        <v>405</v>
      </c>
      <c r="B30" s="17" t="s">
        <v>404</v>
      </c>
      <c r="C30" s="5" t="s">
        <v>480</v>
      </c>
      <c r="E30" s="5" t="s">
        <v>406</v>
      </c>
      <c r="F30" s="17" t="s">
        <v>407</v>
      </c>
      <c r="G30" s="5" t="s">
        <v>480</v>
      </c>
    </row>
    <row r="31" spans="1:7">
      <c r="A31" s="5" t="s">
        <v>408</v>
      </c>
      <c r="B31" s="17" t="s">
        <v>409</v>
      </c>
      <c r="C31" s="5" t="s">
        <v>480</v>
      </c>
      <c r="E31" s="5" t="s">
        <v>410</v>
      </c>
      <c r="F31" s="17" t="s">
        <v>411</v>
      </c>
      <c r="G31" s="5" t="s">
        <v>480</v>
      </c>
    </row>
    <row r="32" spans="1:7">
      <c r="A32" s="5" t="s">
        <v>412</v>
      </c>
      <c r="B32" s="17" t="s">
        <v>413</v>
      </c>
      <c r="C32" s="5" t="s">
        <v>480</v>
      </c>
      <c r="E32" s="5" t="s">
        <v>414</v>
      </c>
      <c r="F32" s="17" t="s">
        <v>415</v>
      </c>
      <c r="G32" s="5" t="s">
        <v>480</v>
      </c>
    </row>
    <row r="33" spans="1:7">
      <c r="A33" s="5" t="s">
        <v>416</v>
      </c>
      <c r="B33" s="17" t="s">
        <v>417</v>
      </c>
      <c r="C33" s="5" t="s">
        <v>480</v>
      </c>
      <c r="E33" s="5" t="s">
        <v>418</v>
      </c>
      <c r="F33" s="17" t="s">
        <v>419</v>
      </c>
      <c r="G33" s="5" t="s">
        <v>480</v>
      </c>
    </row>
    <row r="34" spans="1:7">
      <c r="A34" s="5" t="s">
        <v>482</v>
      </c>
      <c r="B34" s="18" t="s">
        <v>420</v>
      </c>
      <c r="C34" s="30" t="s">
        <v>536</v>
      </c>
      <c r="E34" s="5" t="s">
        <v>421</v>
      </c>
      <c r="F34" s="17" t="s">
        <v>422</v>
      </c>
      <c r="G34" s="5" t="s">
        <v>480</v>
      </c>
    </row>
    <row r="35" spans="1:7">
      <c r="A35" s="20"/>
      <c r="B35" s="20"/>
      <c r="C35" s="20"/>
      <c r="E35" s="5" t="s">
        <v>423</v>
      </c>
      <c r="F35" s="17" t="s">
        <v>424</v>
      </c>
      <c r="G35" s="5" t="s">
        <v>480</v>
      </c>
    </row>
    <row r="36" spans="1:7">
      <c r="A36" s="20"/>
      <c r="B36" s="20"/>
      <c r="C36" s="20"/>
      <c r="E36" s="5" t="s">
        <v>425</v>
      </c>
      <c r="F36" s="17" t="s">
        <v>417</v>
      </c>
      <c r="G36" s="5" t="s">
        <v>480</v>
      </c>
    </row>
    <row r="37" spans="1:7">
      <c r="A37" s="20"/>
      <c r="B37" s="20"/>
      <c r="C37" s="20"/>
      <c r="E37" s="5" t="s">
        <v>426</v>
      </c>
      <c r="F37" s="17" t="s">
        <v>427</v>
      </c>
      <c r="G37" s="5" t="s">
        <v>480</v>
      </c>
    </row>
    <row r="38" spans="1:7">
      <c r="A38" s="20"/>
      <c r="B38" s="20"/>
      <c r="C38" s="20"/>
      <c r="E38" s="5" t="s">
        <v>428</v>
      </c>
      <c r="F38" s="17" t="s">
        <v>429</v>
      </c>
      <c r="G38" s="5" t="s">
        <v>480</v>
      </c>
    </row>
  </sheetData>
  <mergeCells count="2">
    <mergeCell ref="A3:B3"/>
    <mergeCell ref="A1:G2"/>
  </mergeCells>
  <phoneticPr fontId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Akihiro Fujimoto</cp:lastModifiedBy>
  <dcterms:created xsi:type="dcterms:W3CDTF">2022-09-21T09:29:53Z</dcterms:created>
  <dcterms:modified xsi:type="dcterms:W3CDTF">2023-02-15T07:01:45Z</dcterms:modified>
</cp:coreProperties>
</file>