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Harri\2019_5_CCM_Ventilation\"/>
    </mc:Choice>
  </mc:AlternateContent>
  <xr:revisionPtr revIDLastSave="0" documentId="13_ncr:1_{9D8E0733-B4D6-46EA-A07B-4632D1E640FC}" xr6:coauthVersionLast="41" xr6:coauthVersionMax="41" xr10:uidLastSave="{00000000-0000-0000-0000-000000000000}"/>
  <bookViews>
    <workbookView xWindow="-120" yWindow="-120" windowWidth="29040" windowHeight="17640" tabRatio="891" activeTab="5" xr2:uid="{00000000-000D-0000-FFFF-FFFF00000000}"/>
  </bookViews>
  <sheets>
    <sheet name="Cover" sheetId="14" r:id="rId1"/>
    <sheet name="Trial Characteristics" sheetId="3" r:id="rId2"/>
    <sheet name="Ventilation" sheetId="7" r:id="rId3"/>
    <sheet name="V2_toR" sheetId="8" r:id="rId4"/>
    <sheet name="CE" sheetId="15" r:id="rId5"/>
    <sheet name="P, reg-calcu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9" l="1"/>
  <c r="D43" i="9"/>
  <c r="E43" i="9" s="1"/>
  <c r="F43" i="9" s="1"/>
  <c r="H17" i="3" l="1"/>
  <c r="H23" i="3"/>
  <c r="I22" i="3"/>
  <c r="I9" i="3"/>
  <c r="I7" i="3"/>
  <c r="I6" i="3"/>
  <c r="I5" i="3"/>
  <c r="I4" i="3"/>
  <c r="H16" i="3"/>
  <c r="J9" i="3" l="1"/>
  <c r="M62" i="7" l="1"/>
  <c r="I64" i="7"/>
  <c r="J58" i="7"/>
  <c r="J57" i="7"/>
  <c r="I58" i="7"/>
  <c r="I57" i="7"/>
  <c r="H69" i="7"/>
  <c r="K58" i="7"/>
  <c r="M58" i="7" s="1"/>
  <c r="K57" i="7"/>
  <c r="M57" i="7" s="1"/>
  <c r="M61" i="7" l="1"/>
  <c r="M63" i="7" s="1"/>
  <c r="M64" i="7" s="1"/>
  <c r="H68" i="7" s="1"/>
  <c r="H71" i="7" s="1"/>
  <c r="H73" i="7" s="1"/>
  <c r="J51" i="3"/>
  <c r="AQ18" i="7" l="1"/>
  <c r="AP18" i="7"/>
  <c r="E7" i="8" s="1"/>
  <c r="AO18" i="7"/>
  <c r="D7" i="8" s="1"/>
  <c r="AN18" i="7"/>
  <c r="C7" i="8" s="1"/>
  <c r="G9" i="8"/>
  <c r="F9" i="8"/>
  <c r="E9" i="8"/>
  <c r="D9" i="8"/>
  <c r="C9" i="8"/>
  <c r="B9" i="8"/>
  <c r="A9" i="8"/>
  <c r="G8" i="8"/>
  <c r="F8" i="8"/>
  <c r="E8" i="8"/>
  <c r="D8" i="8"/>
  <c r="C8" i="8"/>
  <c r="B8" i="8"/>
  <c r="A8" i="8"/>
  <c r="G7" i="8"/>
  <c r="F7" i="8"/>
  <c r="B7" i="8"/>
  <c r="A7" i="8"/>
  <c r="G6" i="8"/>
  <c r="F6" i="8"/>
  <c r="E6" i="8"/>
  <c r="D6" i="8"/>
  <c r="C6" i="8"/>
  <c r="B6" i="8"/>
  <c r="A6" i="8"/>
  <c r="G5" i="8"/>
  <c r="F5" i="8"/>
  <c r="E5" i="8"/>
  <c r="D5" i="8"/>
  <c r="C5" i="8"/>
  <c r="B5" i="8"/>
  <c r="A5" i="8"/>
  <c r="G4" i="8"/>
  <c r="F4" i="8"/>
  <c r="E4" i="8"/>
  <c r="D4" i="8"/>
  <c r="C4" i="8"/>
  <c r="B4" i="8"/>
  <c r="A4" i="8"/>
  <c r="G3" i="8"/>
  <c r="F3" i="8"/>
  <c r="E3" i="8"/>
  <c r="D3" i="8"/>
  <c r="C3" i="8"/>
  <c r="B3" i="8"/>
  <c r="A3" i="8"/>
  <c r="AH18" i="7"/>
  <c r="AI18" i="7" s="1"/>
  <c r="AJ18" i="7" s="1"/>
  <c r="AH17" i="7"/>
  <c r="X18" i="7"/>
  <c r="W18" i="7"/>
  <c r="U18" i="7"/>
  <c r="V18" i="7" s="1"/>
  <c r="Y18" i="7" s="1"/>
  <c r="S18" i="7"/>
  <c r="Z18" i="7" s="1"/>
  <c r="Q18" i="7"/>
  <c r="N18" i="7"/>
  <c r="J18" i="7"/>
  <c r="G18" i="7"/>
  <c r="P18" i="7"/>
  <c r="M18" i="7"/>
  <c r="AR18" i="7"/>
  <c r="AF18" i="7"/>
  <c r="AL18" i="7"/>
  <c r="L9" i="3"/>
  <c r="N45" i="3"/>
  <c r="M45" i="3"/>
  <c r="M43" i="3"/>
  <c r="P9" i="3"/>
  <c r="AE18" i="7" l="1"/>
  <c r="AA18" i="7"/>
  <c r="AC18" i="7" s="1"/>
  <c r="AB18" i="7"/>
  <c r="AD18" i="7" s="1"/>
  <c r="E4" i="15"/>
  <c r="E3" i="15"/>
  <c r="E2" i="15"/>
  <c r="E1" i="15"/>
  <c r="D4" i="15"/>
  <c r="C4" i="15"/>
  <c r="B4" i="15"/>
  <c r="A4" i="15"/>
  <c r="D3" i="15"/>
  <c r="C3" i="15"/>
  <c r="B3" i="15"/>
  <c r="A3" i="15"/>
  <c r="D2" i="15"/>
  <c r="C2" i="15"/>
  <c r="B2" i="15"/>
  <c r="A2" i="15"/>
  <c r="D1" i="15"/>
  <c r="C1" i="15"/>
  <c r="B1" i="15"/>
  <c r="A1" i="15"/>
  <c r="AX44" i="7"/>
  <c r="AW44" i="7"/>
  <c r="AV44" i="7"/>
  <c r="AU44" i="7"/>
  <c r="AT47" i="7"/>
  <c r="AT46" i="7"/>
  <c r="AT45" i="7"/>
  <c r="AT44" i="7"/>
  <c r="AF45" i="7"/>
  <c r="B22" i="7"/>
  <c r="AO46" i="7"/>
  <c r="AP46" i="7" s="1"/>
  <c r="AH46" i="7" s="1"/>
  <c r="AF48" i="7"/>
  <c r="AF47" i="7"/>
  <c r="AI48" i="7"/>
  <c r="AH48" i="7" s="1"/>
  <c r="AI47" i="7"/>
  <c r="AH47" i="7" s="1"/>
  <c r="S48" i="7"/>
  <c r="Z48" i="7" s="1"/>
  <c r="AE48" i="7" s="1"/>
  <c r="S47" i="7"/>
  <c r="Z47" i="7" s="1"/>
  <c r="AE47" i="7" s="1"/>
  <c r="S46" i="7"/>
  <c r="Z46" i="7" s="1"/>
  <c r="AE46" i="7" s="1"/>
  <c r="P48" i="7"/>
  <c r="AU47" i="7" s="1"/>
  <c r="P47" i="7"/>
  <c r="AU46" i="7" s="1"/>
  <c r="P46" i="7"/>
  <c r="AU45" i="7" s="1"/>
  <c r="M46" i="7"/>
  <c r="M48" i="7"/>
  <c r="M47" i="7"/>
  <c r="AV46" i="7" l="1"/>
  <c r="AX45" i="7"/>
  <c r="AX47" i="7"/>
  <c r="AV45" i="7"/>
  <c r="AV47" i="7"/>
  <c r="AX46" i="7"/>
  <c r="Y48" i="7"/>
  <c r="Y46" i="7"/>
  <c r="Y47" i="7"/>
  <c r="AF46" i="7"/>
  <c r="AA47" i="7" l="1"/>
  <c r="AW46" i="7"/>
  <c r="AB46" i="7"/>
  <c r="AW45" i="7"/>
  <c r="AB48" i="7"/>
  <c r="AW47" i="7"/>
  <c r="AA46" i="7"/>
  <c r="AA48" i="7"/>
  <c r="AB47" i="7"/>
  <c r="C39" i="9"/>
  <c r="C40" i="9"/>
  <c r="C42" i="9"/>
  <c r="AC48" i="7" l="1"/>
  <c r="AC46" i="7"/>
  <c r="AD46" i="7"/>
  <c r="AD47" i="7"/>
  <c r="AD48" i="7"/>
  <c r="AC47" i="7"/>
  <c r="A13" i="9"/>
  <c r="C56" i="9"/>
  <c r="D56" i="9" s="1"/>
  <c r="E56" i="9" s="1"/>
  <c r="F56" i="9" s="1"/>
  <c r="G56" i="9" s="1"/>
  <c r="C69" i="9" l="1"/>
  <c r="C57" i="9"/>
  <c r="D57" i="9" s="1"/>
  <c r="E57" i="9" s="1"/>
  <c r="F57" i="9" s="1"/>
  <c r="G57" i="9" s="1"/>
  <c r="C55" i="9"/>
  <c r="D55" i="9" s="1"/>
  <c r="E55" i="9" s="1"/>
  <c r="F55" i="9" s="1"/>
  <c r="G55" i="9" s="1"/>
  <c r="M40" i="3" l="1"/>
  <c r="L19" i="3" l="1"/>
  <c r="D48" i="9"/>
  <c r="E48" i="9" s="1"/>
  <c r="F48" i="9" s="1"/>
  <c r="Q27" i="7"/>
  <c r="P27" i="7"/>
  <c r="AP27" i="7" s="1"/>
  <c r="N27" i="7"/>
  <c r="M27" i="7"/>
  <c r="AR27" i="7"/>
  <c r="AQ27" i="7"/>
  <c r="AL27" i="7"/>
  <c r="AF27" i="7"/>
  <c r="W27" i="7"/>
  <c r="X27" i="7" s="1"/>
  <c r="U27" i="7"/>
  <c r="V27" i="7" s="1"/>
  <c r="S27" i="7"/>
  <c r="Z27" i="7" s="1"/>
  <c r="Y27" i="7" l="1"/>
  <c r="AO27" i="7" s="1"/>
  <c r="AB27" i="7"/>
  <c r="AD27" i="7" s="1"/>
  <c r="AE27" i="7"/>
  <c r="AN27" i="7" s="1"/>
  <c r="AA27" i="7"/>
  <c r="AC27" i="7" s="1"/>
  <c r="D29" i="9"/>
  <c r="E29" i="9" s="1"/>
  <c r="F29" i="9" s="1"/>
  <c r="G29" i="9" s="1"/>
  <c r="AH27" i="7" l="1"/>
  <c r="AI27" i="7" s="1"/>
  <c r="AJ27" i="7" s="1"/>
  <c r="D28" i="9"/>
  <c r="E28" i="9" s="1"/>
  <c r="F28" i="9" s="1"/>
  <c r="G28" i="9" s="1"/>
  <c r="AN12" i="7"/>
  <c r="M32" i="3"/>
  <c r="M31" i="3"/>
  <c r="N31" i="3" s="1"/>
  <c r="M30" i="3"/>
  <c r="M29" i="3"/>
  <c r="N29" i="3" s="1"/>
  <c r="M28" i="3"/>
  <c r="N30" i="3"/>
  <c r="N28" i="3" l="1"/>
  <c r="J11" i="3" l="1"/>
  <c r="J8" i="3"/>
  <c r="J6" i="3"/>
  <c r="J5" i="3"/>
  <c r="C20" i="7"/>
  <c r="C17" i="7"/>
  <c r="C15" i="7"/>
  <c r="C14" i="7"/>
  <c r="C22" i="7" l="1"/>
  <c r="J13" i="3"/>
  <c r="C7" i="9"/>
  <c r="E7" i="9" s="1"/>
  <c r="F7" i="9" s="1"/>
  <c r="AF35" i="7" l="1"/>
  <c r="W35" i="7"/>
  <c r="X35" i="7" s="1"/>
  <c r="U35" i="7"/>
  <c r="V35" i="7" s="1"/>
  <c r="S35" i="7"/>
  <c r="Z35" i="7" s="1"/>
  <c r="S15" i="7"/>
  <c r="S14" i="7"/>
  <c r="S13" i="7"/>
  <c r="AI14" i="7"/>
  <c r="AH14" i="7" s="1"/>
  <c r="M17" i="3"/>
  <c r="M16" i="3"/>
  <c r="Y35" i="7" l="1"/>
  <c r="AA35" i="7" s="1"/>
  <c r="AC35" i="7" s="1"/>
  <c r="AE35" i="7"/>
  <c r="AB35" i="7" l="1"/>
  <c r="AD35" i="7" s="1"/>
  <c r="AH35" i="7"/>
  <c r="AI35" i="7" s="1"/>
  <c r="AJ35" i="7" s="1"/>
  <c r="AR20" i="7"/>
  <c r="AQ20" i="7"/>
  <c r="AR19" i="7"/>
  <c r="AQ19" i="7"/>
  <c r="AR17" i="7"/>
  <c r="AQ17" i="7"/>
  <c r="AR16" i="7"/>
  <c r="AQ16" i="7"/>
  <c r="AR15" i="7"/>
  <c r="AQ15" i="7"/>
  <c r="AR14" i="7"/>
  <c r="AQ14" i="7"/>
  <c r="AR13" i="7"/>
  <c r="G2" i="8" s="1"/>
  <c r="AQ13" i="7"/>
  <c r="F2" i="8" s="1"/>
  <c r="AQ12" i="7"/>
  <c r="F1" i="8" s="1"/>
  <c r="AR12" i="7"/>
  <c r="G1" i="8" s="1"/>
  <c r="B2" i="8" l="1"/>
  <c r="C1" i="8"/>
  <c r="B1" i="8"/>
  <c r="A1" i="8"/>
  <c r="AP12" i="7"/>
  <c r="E1" i="8" s="1"/>
  <c r="AO12" i="7"/>
  <c r="D1" i="8" s="1"/>
  <c r="W15" i="7"/>
  <c r="X15" i="7" s="1"/>
  <c r="U15" i="7"/>
  <c r="V15" i="7" s="1"/>
  <c r="Y15" i="7" s="1"/>
  <c r="AO15" i="7" s="1"/>
  <c r="G15" i="3"/>
  <c r="G14" i="3"/>
  <c r="G13" i="3"/>
  <c r="D69" i="9" l="1"/>
  <c r="D67" i="9"/>
  <c r="D66" i="9"/>
  <c r="D63" i="9"/>
  <c r="D65" i="9"/>
  <c r="D31" i="9" l="1"/>
  <c r="E31" i="9" l="1"/>
  <c r="D45" i="9"/>
  <c r="E45" i="9" s="1"/>
  <c r="F45" i="9" s="1"/>
  <c r="D46" i="9"/>
  <c r="E46" i="9" s="1"/>
  <c r="F46" i="9" s="1"/>
  <c r="D44" i="9"/>
  <c r="E44" i="9" s="1"/>
  <c r="F44" i="9" s="1"/>
  <c r="D42" i="9"/>
  <c r="E42" i="9" s="1"/>
  <c r="F42" i="9" s="1"/>
  <c r="D41" i="9"/>
  <c r="E41" i="9" s="1"/>
  <c r="F41" i="9" s="1"/>
  <c r="D40" i="9"/>
  <c r="E40" i="9" s="1"/>
  <c r="F40" i="9" s="1"/>
  <c r="E39" i="9"/>
  <c r="F39" i="9" s="1"/>
  <c r="C35" i="9"/>
  <c r="D35" i="9" s="1"/>
  <c r="E35" i="9" s="1"/>
  <c r="F35" i="9" s="1"/>
  <c r="G35" i="9" s="1"/>
  <c r="C34" i="9"/>
  <c r="D34" i="9" s="1"/>
  <c r="E34" i="9" s="1"/>
  <c r="F34" i="9" s="1"/>
  <c r="G34" i="9" s="1"/>
  <c r="C33" i="9"/>
  <c r="D33" i="9" s="1"/>
  <c r="E33" i="9" s="1"/>
  <c r="F33" i="9" s="1"/>
  <c r="G33" i="9" s="1"/>
  <c r="C32" i="9"/>
  <c r="D32" i="9" s="1"/>
  <c r="E32" i="9" s="1"/>
  <c r="F32" i="9" s="1"/>
  <c r="G32" i="9" s="1"/>
  <c r="C30" i="9"/>
  <c r="B17" i="9"/>
  <c r="E17" i="9" s="1"/>
  <c r="F17" i="9" s="1"/>
  <c r="E15" i="9"/>
  <c r="F15" i="9" s="1"/>
  <c r="Q14" i="7"/>
  <c r="N14" i="7"/>
  <c r="L8" i="3"/>
  <c r="N32" i="3"/>
  <c r="P8" i="3"/>
  <c r="N19" i="7"/>
  <c r="M19" i="7"/>
  <c r="Q19" i="7"/>
  <c r="P19" i="7"/>
  <c r="AP19" i="7" s="1"/>
  <c r="Q17" i="7"/>
  <c r="P17" i="7"/>
  <c r="AP17" i="7" s="1"/>
  <c r="N17" i="7"/>
  <c r="M17" i="7"/>
  <c r="P14" i="7"/>
  <c r="AP14" i="7" s="1"/>
  <c r="M14" i="7"/>
  <c r="Q20" i="7"/>
  <c r="P20" i="7"/>
  <c r="AP20" i="7" s="1"/>
  <c r="N20" i="7"/>
  <c r="M20" i="7"/>
  <c r="Q16" i="7"/>
  <c r="P16" i="7"/>
  <c r="AP16" i="7" s="1"/>
  <c r="N16" i="7"/>
  <c r="M16" i="7"/>
  <c r="Q15" i="7"/>
  <c r="P15" i="7"/>
  <c r="AP15" i="7" s="1"/>
  <c r="N15" i="7"/>
  <c r="M15" i="7"/>
  <c r="Q13" i="7"/>
  <c r="P13" i="7"/>
  <c r="AP13" i="7" s="1"/>
  <c r="E2" i="8" s="1"/>
  <c r="N13" i="7"/>
  <c r="M13" i="7"/>
  <c r="F31" i="9" l="1"/>
  <c r="G31" i="9" s="1"/>
  <c r="D30" i="9"/>
  <c r="E30" i="9" s="1"/>
  <c r="F30" i="9" s="1"/>
  <c r="G30" i="9" s="1"/>
  <c r="AF15" i="7"/>
  <c r="AF17" i="7"/>
  <c r="W17" i="7"/>
  <c r="X17" i="7" s="1"/>
  <c r="U17" i="7"/>
  <c r="V17" i="7" s="1"/>
  <c r="S17" i="7"/>
  <c r="Z17" i="7" s="1"/>
  <c r="AL17" i="7"/>
  <c r="Y17" i="7" l="1"/>
  <c r="AO17" i="7" s="1"/>
  <c r="AE17" i="7"/>
  <c r="AN17" i="7" s="1"/>
  <c r="AB17" i="7" l="1"/>
  <c r="AD17" i="7" s="1"/>
  <c r="AA17" i="7"/>
  <c r="AC17" i="7" s="1"/>
  <c r="AI17" i="7" l="1"/>
  <c r="AJ17" i="7" s="1"/>
  <c r="E14" i="9" l="1"/>
  <c r="H20" i="3" l="1"/>
  <c r="L4" i="3"/>
  <c r="P4" i="3"/>
  <c r="L5" i="3"/>
  <c r="P5" i="3"/>
  <c r="L6" i="3"/>
  <c r="P6" i="3"/>
  <c r="L7" i="3"/>
  <c r="P7" i="3"/>
  <c r="L10" i="3"/>
  <c r="P10" i="3"/>
  <c r="L11" i="3"/>
  <c r="P11" i="3"/>
  <c r="B13" i="3"/>
  <c r="K13" i="3"/>
  <c r="N40" i="3"/>
  <c r="O40" i="3" s="1"/>
  <c r="N43" i="3"/>
  <c r="C4" i="9"/>
  <c r="E4" i="9" s="1"/>
  <c r="C6" i="9"/>
  <c r="E6" i="9" s="1"/>
  <c r="F6" i="9" s="1"/>
  <c r="S4" i="7"/>
  <c r="Z4" i="7" s="1"/>
  <c r="AE4" i="7" s="1"/>
  <c r="U4" i="7"/>
  <c r="V4" i="7" s="1"/>
  <c r="W4" i="7"/>
  <c r="X4" i="7" s="1"/>
  <c r="U13" i="7"/>
  <c r="V13" i="7" s="1"/>
  <c r="W13" i="7"/>
  <c r="X13" i="7" s="1"/>
  <c r="AF13" i="7"/>
  <c r="AL13" i="7"/>
  <c r="A2" i="8" s="1"/>
  <c r="AF14" i="7"/>
  <c r="AL14" i="7"/>
  <c r="Z15" i="7"/>
  <c r="AH15" i="7" s="1"/>
  <c r="AI15" i="7" s="1"/>
  <c r="AL15" i="7"/>
  <c r="S16" i="7"/>
  <c r="U16" i="7"/>
  <c r="V16" i="7" s="1"/>
  <c r="W16" i="7"/>
  <c r="X16" i="7" s="1"/>
  <c r="AF16" i="7"/>
  <c r="AL16" i="7"/>
  <c r="S19" i="7"/>
  <c r="U19" i="7"/>
  <c r="V19" i="7" s="1"/>
  <c r="W19" i="7"/>
  <c r="X19" i="7" s="1"/>
  <c r="AF19" i="7"/>
  <c r="AL19" i="7"/>
  <c r="S20" i="7"/>
  <c r="U20" i="7"/>
  <c r="V20" i="7" s="1"/>
  <c r="W20" i="7"/>
  <c r="X20" i="7" s="1"/>
  <c r="AF20" i="7"/>
  <c r="AL20" i="7"/>
  <c r="H22" i="7"/>
  <c r="K22" i="7"/>
  <c r="AI22" i="7"/>
  <c r="AJ22" i="7" s="1"/>
  <c r="AI24" i="7"/>
  <c r="AH24" i="7" s="1"/>
  <c r="S34" i="7"/>
  <c r="Z34" i="7" s="1"/>
  <c r="U34" i="7"/>
  <c r="V34" i="7" s="1"/>
  <c r="W34" i="7"/>
  <c r="X34" i="7" s="1"/>
  <c r="AF34" i="7"/>
  <c r="AJ15" i="7" l="1"/>
  <c r="AB15" i="7"/>
  <c r="AD15" i="7" s="1"/>
  <c r="AA15" i="7"/>
  <c r="AC15" i="7" s="1"/>
  <c r="AE15" i="7"/>
  <c r="AN15" i="7" s="1"/>
  <c r="L14" i="3"/>
  <c r="L15" i="3"/>
  <c r="L13" i="3"/>
  <c r="Z19" i="7"/>
  <c r="AE19" i="7" s="1"/>
  <c r="AN19" i="7" s="1"/>
  <c r="Z13" i="7"/>
  <c r="AE13" i="7" s="1"/>
  <c r="Z20" i="7"/>
  <c r="Z16" i="7"/>
  <c r="Z14" i="7"/>
  <c r="AE14" i="7" s="1"/>
  <c r="AN14" i="7" s="1"/>
  <c r="Y13" i="7"/>
  <c r="Y34" i="7"/>
  <c r="AA34" i="7" s="1"/>
  <c r="AC34" i="7" s="1"/>
  <c r="H24" i="7"/>
  <c r="Y19" i="7"/>
  <c r="AO19" i="7" s="1"/>
  <c r="Y20" i="7"/>
  <c r="AO20" i="7" s="1"/>
  <c r="Y4" i="7"/>
  <c r="AB4" i="7" s="1"/>
  <c r="AD4" i="7" s="1"/>
  <c r="Y16" i="7"/>
  <c r="AO16" i="7" s="1"/>
  <c r="AE20" i="7"/>
  <c r="AN20" i="7" s="1"/>
  <c r="AE34" i="7"/>
  <c r="AO13" i="7" l="1"/>
  <c r="D2" i="8" s="1"/>
  <c r="AN13" i="7"/>
  <c r="C2" i="8" s="1"/>
  <c r="Y14" i="7"/>
  <c r="AA14" i="7" s="1"/>
  <c r="AC14" i="7" s="1"/>
  <c r="AH13" i="7"/>
  <c r="AI13" i="7" s="1"/>
  <c r="AJ13" i="7" s="1"/>
  <c r="AA19" i="7"/>
  <c r="AC19" i="7" s="1"/>
  <c r="AE16" i="7"/>
  <c r="AN16" i="7" s="1"/>
  <c r="AA16" i="7"/>
  <c r="AC16" i="7" s="1"/>
  <c r="AH34" i="7"/>
  <c r="AI34" i="7" s="1"/>
  <c r="AJ34" i="7" s="1"/>
  <c r="AA20" i="7"/>
  <c r="AC20" i="7" s="1"/>
  <c r="AB13" i="7"/>
  <c r="AD13" i="7" s="1"/>
  <c r="AB20" i="7"/>
  <c r="AD20" i="7" s="1"/>
  <c r="AA13" i="7"/>
  <c r="AC13" i="7" s="1"/>
  <c r="AB34" i="7"/>
  <c r="AD34" i="7" s="1"/>
  <c r="AH20" i="7"/>
  <c r="AA4" i="7"/>
  <c r="AC4" i="7" s="1"/>
  <c r="AH19" i="7"/>
  <c r="AB19" i="7"/>
  <c r="AD19" i="7" s="1"/>
  <c r="AH16" i="7"/>
  <c r="AB16" i="7"/>
  <c r="AD16" i="7" s="1"/>
  <c r="AB14" i="7" l="1"/>
  <c r="AD14" i="7" s="1"/>
  <c r="AO14" i="7"/>
  <c r="AI19" i="7"/>
  <c r="AJ19" i="7" s="1"/>
  <c r="AI16" i="7"/>
  <c r="AJ16" i="7" s="1"/>
  <c r="AI20" i="7"/>
  <c r="AJ20" i="7" s="1"/>
  <c r="B13" i="9"/>
  <c r="E13" i="9" s="1"/>
</calcChain>
</file>

<file path=xl/sharedStrings.xml><?xml version="1.0" encoding="utf-8"?>
<sst xmlns="http://schemas.openxmlformats.org/spreadsheetml/2006/main" count="325" uniqueCount="199">
  <si>
    <t>Friedrich (2011) example</t>
  </si>
  <si>
    <t>SE_pool</t>
  </si>
  <si>
    <t>calculated</t>
  </si>
  <si>
    <t xml:space="preserve">from the </t>
  </si>
  <si>
    <t>published P-value</t>
  </si>
  <si>
    <t>Vit C</t>
  </si>
  <si>
    <t>Placebo</t>
  </si>
  <si>
    <t>mean</t>
  </si>
  <si>
    <t>SD</t>
  </si>
  <si>
    <t>N</t>
  </si>
  <si>
    <t>cardiac</t>
  </si>
  <si>
    <t>po</t>
  </si>
  <si>
    <t>iv</t>
  </si>
  <si>
    <t>RoM</t>
  </si>
  <si>
    <t>vit C</t>
  </si>
  <si>
    <t>Plac</t>
  </si>
  <si>
    <t>Ln_RoM</t>
  </si>
  <si>
    <t>CI_low</t>
  </si>
  <si>
    <t>CI_hi</t>
  </si>
  <si>
    <t>Exp_CI_low</t>
  </si>
  <si>
    <t>Exp_CI_hi</t>
  </si>
  <si>
    <t>Z</t>
  </si>
  <si>
    <t>P(1-tail)</t>
  </si>
  <si>
    <t>P(2-tail)</t>
  </si>
  <si>
    <t>studlab</t>
  </si>
  <si>
    <t>seTE</t>
  </si>
  <si>
    <t>Route</t>
  </si>
  <si>
    <t>Iran</t>
  </si>
  <si>
    <t>d</t>
  </si>
  <si>
    <t>Amini</t>
  </si>
  <si>
    <t>Bjordahl</t>
  </si>
  <si>
    <t>h</t>
  </si>
  <si>
    <t>Dehghani</t>
  </si>
  <si>
    <t>Ebade</t>
  </si>
  <si>
    <t>Zabet</t>
  </si>
  <si>
    <t>Total</t>
  </si>
  <si>
    <t>Vitamin  C administration</t>
  </si>
  <si>
    <t>Year</t>
  </si>
  <si>
    <t>Study (ref)</t>
  </si>
  <si>
    <t>Country</t>
  </si>
  <si>
    <t>Settings</t>
  </si>
  <si>
    <t>Age
(y)</t>
  </si>
  <si>
    <t>No. part, 
not cardio</t>
  </si>
  <si>
    <t>Males</t>
  </si>
  <si>
    <t>Dose
(g/d)</t>
  </si>
  <si>
    <t>Egypt</t>
  </si>
  <si>
    <t>Cardiac</t>
  </si>
  <si>
    <t>USA</t>
  </si>
  <si>
    <t>hours</t>
  </si>
  <si>
    <t>Sepsis</t>
  </si>
  <si>
    <t>Japan</t>
  </si>
  <si>
    <t>Burn patients</t>
  </si>
  <si>
    <t>Min</t>
  </si>
  <si>
    <t>Max</t>
  </si>
  <si>
    <t xml:space="preserve">Cardio: </t>
  </si>
  <si>
    <t>Median</t>
  </si>
  <si>
    <t>:iv</t>
  </si>
  <si>
    <t>:po</t>
  </si>
  <si>
    <t>dose unit</t>
  </si>
  <si>
    <t>dose</t>
  </si>
  <si>
    <t>mg/day</t>
  </si>
  <si>
    <t>g/day</t>
  </si>
  <si>
    <t>mg/kg</t>
  </si>
  <si>
    <t>Tanaka 2000</t>
  </si>
  <si>
    <t>mg/kg/hour</t>
  </si>
  <si>
    <t>Zabet 2016</t>
  </si>
  <si>
    <t>Reported ventilation time</t>
  </si>
  <si>
    <t>participants</t>
  </si>
  <si>
    <t>Tanaka</t>
  </si>
  <si>
    <t>non-cardiac</t>
  </si>
  <si>
    <t>Chi-2</t>
  </si>
  <si>
    <t>DF</t>
  </si>
  <si>
    <t>testing</t>
  </si>
  <si>
    <t>calculations</t>
  </si>
  <si>
    <t>for</t>
  </si>
  <si>
    <t>by</t>
  </si>
  <si>
    <t>Harri Hemilä and Elizabeth Chalker</t>
  </si>
  <si>
    <t>Contact Harri Hemilä</t>
  </si>
  <si>
    <t xml:space="preserve">harri.hemila@helsinki.fi </t>
  </si>
  <si>
    <t>Day/h</t>
  </si>
  <si>
    <t>Calculation of the effect of vitamin C on the length of mechanical ventilation by the ratio of means (RoM)</t>
  </si>
  <si>
    <t>Calculations of P-values for vitamin C and ICU meta-analysis</t>
  </si>
  <si>
    <t>Data for Table 1</t>
  </si>
  <si>
    <t>Transformation to hours</t>
  </si>
  <si>
    <t>Habib</t>
  </si>
  <si>
    <t>Septic shock</t>
  </si>
  <si>
    <t>Metaregression</t>
  </si>
  <si>
    <t>a=</t>
  </si>
  <si>
    <t>b=</t>
  </si>
  <si>
    <t>See Supplementary file 1</t>
  </si>
  <si>
    <t>Duration in the</t>
  </si>
  <si>
    <t>control group</t>
  </si>
  <si>
    <t>Ln(RoM)</t>
  </si>
  <si>
    <t>%-effect</t>
  </si>
  <si>
    <t>Log(10)-duration</t>
  </si>
  <si>
    <t>days</t>
  </si>
  <si>
    <t>Calculated RoM</t>
  </si>
  <si>
    <t>Ventilation</t>
  </si>
  <si>
    <t>ln(RoM)</t>
  </si>
  <si>
    <t>mg</t>
  </si>
  <si>
    <t>route</t>
  </si>
  <si>
    <t>Trials with</t>
  </si>
  <si>
    <t xml:space="preserve">The published 1.2 and 0.8 and 1.4. and 1.0 are rounded. </t>
  </si>
  <si>
    <t>&lt;Published MW P-value</t>
  </si>
  <si>
    <t>Transformation of ln(RoM) axis to RoM axis in Figure 1</t>
  </si>
  <si>
    <t>Control group</t>
  </si>
  <si>
    <t>Dose &lt;10 g/day &amp; duration &gt;10 h</t>
  </si>
  <si>
    <t>Amini 2018 [7]</t>
  </si>
  <si>
    <t>Bjordahl 2012 [6]</t>
  </si>
  <si>
    <t>Dehghani 2014 [8]</t>
  </si>
  <si>
    <t>Ebade 2014 [9]</t>
  </si>
  <si>
    <t>Habib 2017 [5]</t>
  </si>
  <si>
    <t>Tanaka 2000 [10]</t>
  </si>
  <si>
    <t>Zabet 2016 [11]</t>
  </si>
  <si>
    <t>placebo</t>
  </si>
  <si>
    <t>no placebo</t>
  </si>
  <si>
    <t>placebo (saline)</t>
  </si>
  <si>
    <t>functional placebo</t>
  </si>
  <si>
    <t>Habib 2017</t>
  </si>
  <si>
    <t>Amini 2018</t>
  </si>
  <si>
    <t>Duration (d)</t>
  </si>
  <si>
    <t>: &gt;10 h</t>
  </si>
  <si>
    <t>"no agent"</t>
  </si>
  <si>
    <t>"nothing"</t>
  </si>
  <si>
    <t>Dehghani 2014</t>
  </si>
  <si>
    <t>Bjordahl 2012</t>
  </si>
  <si>
    <t>Dosage</t>
  </si>
  <si>
    <t>Ebade 2014</t>
  </si>
  <si>
    <t>Times per d</t>
  </si>
  <si>
    <t>"until ICU discharge"</t>
  </si>
  <si>
    <t>Calculation of P-value from the published  SD-values</t>
  </si>
  <si>
    <t>Control</t>
  </si>
  <si>
    <t>TE</t>
  </si>
  <si>
    <t>Calculated</t>
  </si>
  <si>
    <t>Sadeghpour</t>
  </si>
  <si>
    <t>The rounded published figures are not inconsistent with the reported MannWhitney P-value</t>
  </si>
  <si>
    <t>This spreadsheet is Additional file S2</t>
  </si>
  <si>
    <t>For the average weight in the trial</t>
  </si>
  <si>
    <t>Average weight</t>
  </si>
  <si>
    <t>Weight mean</t>
  </si>
  <si>
    <t>Rounded</t>
  </si>
  <si>
    <t>every 6 hour</t>
  </si>
  <si>
    <t>continuous infusion</t>
  </si>
  <si>
    <t>Effect</t>
  </si>
  <si>
    <t>95% lo</t>
  </si>
  <si>
    <t>95% hi</t>
  </si>
  <si>
    <t>z</t>
  </si>
  <si>
    <t>SE</t>
  </si>
  <si>
    <t>Observed RoM</t>
  </si>
  <si>
    <t>Observed (h)</t>
  </si>
  <si>
    <t>Days</t>
  </si>
  <si>
    <t>Howe 2015</t>
  </si>
  <si>
    <t>Crimi 2004</t>
  </si>
  <si>
    <t>Nathens 2002</t>
  </si>
  <si>
    <t>Vitamin C May Shorten the Length of Mechanical Ventilation: A Meta-regression Analysis</t>
  </si>
  <si>
    <t>Vitamin C and E trials</t>
  </si>
  <si>
    <t>Vit C&amp;E</t>
  </si>
  <si>
    <t>Calculation of SE(log(RoM)) from P or 95% CI</t>
  </si>
  <si>
    <t>Calculation of z from the 95% CI</t>
  </si>
  <si>
    <t>Calculation with the RoM approach</t>
  </si>
  <si>
    <t>Safaei</t>
  </si>
  <si>
    <t>Safaei 2017 []</t>
  </si>
  <si>
    <t>update refs</t>
  </si>
  <si>
    <t>Safaei 2017</t>
  </si>
  <si>
    <t>2*</t>
  </si>
  <si>
    <t>90**</t>
  </si>
  <si>
    <t>6***</t>
  </si>
  <si>
    <t>***calculated for 60 kg, see below</t>
  </si>
  <si>
    <t>**calculated for 57 kg, see below</t>
  </si>
  <si>
    <t>*calculated for 74 kg, see below</t>
  </si>
  <si>
    <t>SEM</t>
  </si>
  <si>
    <t>Published P = 0.019</t>
  </si>
  <si>
    <t>Age</t>
  </si>
  <si>
    <t>Mean</t>
  </si>
  <si>
    <t>Var</t>
  </si>
  <si>
    <t>(N -1)* Var</t>
  </si>
  <si>
    <t>Sum</t>
  </si>
  <si>
    <t>Per N1+N2 -2</t>
  </si>
  <si>
    <t>sqrt</t>
  </si>
  <si>
    <t>Difference</t>
  </si>
  <si>
    <t>per sqrt(N)</t>
  </si>
  <si>
    <t>t =</t>
  </si>
  <si>
    <t>DF =</t>
  </si>
  <si>
    <t>P =</t>
  </si>
  <si>
    <t>2*P =</t>
  </si>
  <si>
    <t>Vitamin C</t>
  </si>
  <si>
    <t>t-test for Bjordahl to search for values that give t-test  P = 0.032 and are consistent with the published results</t>
  </si>
  <si>
    <t>Sepsis:</t>
  </si>
  <si>
    <t>Included in meta-analysis:</t>
  </si>
  <si>
    <t>Overall total:</t>
  </si>
  <si>
    <t>Example in Fig. 4</t>
  </si>
  <si>
    <t>All 8 ventilation trials</t>
  </si>
  <si>
    <t>5 ventilation trials: Tanaka and &lt;10hour trials excluded</t>
  </si>
  <si>
    <t>8 ventilation trials, test of heterogeneity</t>
  </si>
  <si>
    <t>8 ventilation trials, metaregression Z</t>
  </si>
  <si>
    <t>in %</t>
  </si>
  <si>
    <t>Sefaei</t>
  </si>
  <si>
    <t>The 8 vitamin C trials</t>
  </si>
  <si>
    <t>The 3 vitamin C and E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</si>
</sst>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.00\ [$€-40B];[Red]\-#,##0.00\ [$€-40B]"/>
    <numFmt numFmtId="165" formatCode="0.0000"/>
    <numFmt numFmtId="166" formatCode="0.000"/>
    <numFmt numFmtId="167" formatCode="0.0000000"/>
    <numFmt numFmtId="168" formatCode="0.0"/>
    <numFmt numFmtId="169" formatCode="0%"/>
    <numFmt numFmtId="170" formatCode="0.0%"/>
    <numFmt numFmtId="171" formatCode="0.00000"/>
    <numFmt numFmtId="172" formatCode="0E+00"/>
    <numFmt numFmtId="173" formatCode="0.000000"/>
    <numFmt numFmtId="174" formatCode="0.0000000000"/>
    <numFmt numFmtId="175" formatCode="0.0E+00"/>
    <numFmt numFmtId="176" formatCode="yyyy\-mm\-dd;@"/>
    <numFmt numFmtId="177" formatCode="0.000000000000"/>
    <numFmt numFmtId="178" formatCode="0.00000000000000"/>
    <numFmt numFmtId="179" formatCode="0.E+00"/>
  </numFmts>
  <fonts count="17" x14ac:knownFonts="1">
    <font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6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22"/>
      <color indexed="8"/>
      <name val="Calibri"/>
      <family val="2"/>
    </font>
    <font>
      <u/>
      <sz val="11"/>
      <color theme="10"/>
      <name val="Calibri"/>
      <family val="2"/>
    </font>
    <font>
      <u/>
      <sz val="24"/>
      <color theme="10"/>
      <name val="Calibri"/>
      <family val="2"/>
    </font>
    <font>
      <sz val="24"/>
      <color indexed="8"/>
      <name val="Calibri"/>
      <family val="2"/>
    </font>
    <font>
      <b/>
      <sz val="24"/>
      <color indexed="8"/>
      <name val="Calibri"/>
      <family val="2"/>
    </font>
    <font>
      <b/>
      <sz val="12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34"/>
        <bgColor indexed="1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6">
    <xf numFmtId="0" fontId="0" fillId="0" borderId="0"/>
    <xf numFmtId="0" fontId="2" fillId="0" borderId="0" applyNumberFormat="0" applyFill="0" applyBorder="0" applyProtection="0">
      <alignment horizontal="center"/>
    </xf>
    <xf numFmtId="0" fontId="2" fillId="0" borderId="0" applyNumberFormat="0" applyFill="0" applyBorder="0" applyProtection="0">
      <alignment horizontal="center" textRotation="90"/>
    </xf>
    <xf numFmtId="0" fontId="1" fillId="0" borderId="0" applyNumberFormat="0" applyFill="0" applyBorder="0" applyAlignment="0" applyProtection="0"/>
    <xf numFmtId="164" fontId="1" fillId="0" borderId="0" applyFill="0" applyBorder="0" applyAlignment="0" applyProtection="0"/>
    <xf numFmtId="0" fontId="11" fillId="0" borderId="0" applyNumberForma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2" fontId="0" fillId="0" borderId="0" xfId="0" applyNumberFormat="1" applyFont="1" applyBorder="1" applyAlignment="1" applyProtection="1">
      <alignment horizontal="left"/>
    </xf>
    <xf numFmtId="2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65" fontId="0" fillId="0" borderId="0" xfId="0" applyNumberFormat="1" applyFont="1" applyBorder="1" applyAlignment="1" applyProtection="1">
      <alignment horizontal="center"/>
    </xf>
    <xf numFmtId="166" fontId="0" fillId="2" borderId="0" xfId="0" applyNumberFormat="1" applyFont="1" applyFill="1" applyBorder="1" applyAlignment="1" applyProtection="1">
      <alignment horizontal="center"/>
    </xf>
    <xf numFmtId="165" fontId="0" fillId="2" borderId="0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3" fillId="0" borderId="0" xfId="0" applyFont="1" applyAlignment="1">
      <alignment horizontal="right"/>
    </xf>
    <xf numFmtId="2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165" fontId="5" fillId="0" borderId="0" xfId="0" applyNumberFormat="1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0" fillId="0" borderId="0" xfId="0" applyFont="1" applyAlignment="1">
      <alignment horizontal="right"/>
    </xf>
    <xf numFmtId="166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6" fontId="0" fillId="3" borderId="0" xfId="0" applyNumberFormat="1" applyFill="1" applyAlignment="1">
      <alignment horizontal="left"/>
    </xf>
    <xf numFmtId="0" fontId="0" fillId="3" borderId="0" xfId="0" applyFont="1" applyFill="1"/>
    <xf numFmtId="168" fontId="0" fillId="0" borderId="0" xfId="0" applyNumberFormat="1"/>
    <xf numFmtId="0" fontId="5" fillId="0" borderId="0" xfId="0" applyFont="1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2" fontId="0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Font="1" applyFill="1" applyBorder="1" applyAlignment="1" applyProtection="1">
      <alignment horizontal="center"/>
    </xf>
    <xf numFmtId="166" fontId="0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/>
    <xf numFmtId="0" fontId="0" fillId="0" borderId="2" xfId="0" applyFont="1" applyBorder="1" applyAlignment="1">
      <alignment horizontal="center"/>
    </xf>
    <xf numFmtId="0" fontId="5" fillId="3" borderId="2" xfId="0" applyFont="1" applyFill="1" applyBorder="1"/>
    <xf numFmtId="0" fontId="0" fillId="3" borderId="2" xfId="0" applyFont="1" applyFill="1" applyBorder="1" applyAlignment="1">
      <alignment horizontal="center"/>
    </xf>
    <xf numFmtId="169" fontId="0" fillId="0" borderId="2" xfId="0" applyNumberFormat="1" applyFont="1" applyBorder="1" applyAlignment="1">
      <alignment horizontal="center"/>
    </xf>
    <xf numFmtId="170" fontId="0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68" fontId="0" fillId="0" borderId="0" xfId="0" applyNumberFormat="1" applyAlignment="1">
      <alignment horizontal="center"/>
    </xf>
    <xf numFmtId="166" fontId="0" fillId="0" borderId="0" xfId="0" applyNumberFormat="1" applyFont="1" applyBorder="1" applyAlignment="1" applyProtection="1">
      <alignment horizontal="center"/>
    </xf>
    <xf numFmtId="165" fontId="0" fillId="3" borderId="0" xfId="0" applyNumberFormat="1" applyFill="1" applyAlignment="1">
      <alignment horizontal="left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72" fontId="8" fillId="0" borderId="0" xfId="0" applyNumberFormat="1" applyFont="1" applyAlignment="1">
      <alignment horizontal="center"/>
    </xf>
    <xf numFmtId="173" fontId="8" fillId="0" borderId="0" xfId="0" applyNumberFormat="1" applyFont="1" applyAlignment="1">
      <alignment horizontal="center"/>
    </xf>
    <xf numFmtId="0" fontId="0" fillId="4" borderId="0" xfId="0" applyFill="1"/>
    <xf numFmtId="2" fontId="0" fillId="3" borderId="0" xfId="0" applyNumberFormat="1" applyFont="1" applyFill="1" applyAlignment="1">
      <alignment horizontal="center"/>
    </xf>
    <xf numFmtId="0" fontId="5" fillId="4" borderId="0" xfId="0" applyFont="1" applyFill="1"/>
    <xf numFmtId="0" fontId="5" fillId="0" borderId="0" xfId="0" applyFont="1" applyAlignment="1">
      <alignment horizontal="center"/>
    </xf>
    <xf numFmtId="0" fontId="0" fillId="4" borderId="2" xfId="0" applyFont="1" applyFill="1" applyBorder="1" applyAlignment="1">
      <alignment horizontal="center"/>
    </xf>
    <xf numFmtId="2" fontId="5" fillId="0" borderId="0" xfId="0" applyNumberFormat="1" applyFont="1" applyBorder="1" applyAlignment="1" applyProtection="1">
      <alignment horizontal="left"/>
    </xf>
    <xf numFmtId="0" fontId="10" fillId="0" borderId="0" xfId="0" applyFont="1"/>
    <xf numFmtId="0" fontId="12" fillId="0" borderId="0" xfId="5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5" fillId="4" borderId="2" xfId="0" applyFont="1" applyFill="1" applyBorder="1"/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Font="1" applyFill="1"/>
    <xf numFmtId="171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/>
    <xf numFmtId="165" fontId="0" fillId="0" borderId="0" xfId="0" applyNumberFormat="1" applyFill="1"/>
    <xf numFmtId="168" fontId="8" fillId="0" borderId="0" xfId="0" applyNumberFormat="1" applyFont="1" applyAlignment="1">
      <alignment horizontal="center"/>
    </xf>
    <xf numFmtId="168" fontId="8" fillId="4" borderId="0" xfId="0" applyNumberFormat="1" applyFont="1" applyFill="1" applyAlignment="1">
      <alignment horizontal="center"/>
    </xf>
    <xf numFmtId="174" fontId="8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2" xfId="0" applyFont="1" applyBorder="1"/>
    <xf numFmtId="0" fontId="0" fillId="4" borderId="2" xfId="0" applyFont="1" applyFill="1" applyBorder="1"/>
    <xf numFmtId="0" fontId="0" fillId="0" borderId="2" xfId="0" applyFont="1" applyFill="1" applyBorder="1"/>
    <xf numFmtId="0" fontId="15" fillId="0" borderId="0" xfId="0" applyFont="1" applyAlignment="1">
      <alignment horizontal="center"/>
    </xf>
    <xf numFmtId="175" fontId="8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right"/>
    </xf>
    <xf numFmtId="1" fontId="0" fillId="0" borderId="0" xfId="0" applyNumberFormat="1" applyAlignment="1">
      <alignment horizontal="center"/>
    </xf>
    <xf numFmtId="2" fontId="0" fillId="4" borderId="0" xfId="0" applyNumberFormat="1" applyFill="1"/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166" fontId="5" fillId="2" borderId="0" xfId="0" applyNumberFormat="1" applyFont="1" applyFill="1" applyBorder="1" applyAlignment="1" applyProtection="1">
      <alignment horizontal="center"/>
    </xf>
    <xf numFmtId="165" fontId="5" fillId="2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4" borderId="0" xfId="0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Border="1"/>
    <xf numFmtId="0" fontId="0" fillId="0" borderId="0" xfId="0" applyFont="1" applyFill="1" applyBorder="1"/>
    <xf numFmtId="16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176" fontId="13" fillId="0" borderId="0" xfId="0" applyNumberFormat="1" applyFont="1"/>
    <xf numFmtId="9" fontId="6" fillId="0" borderId="0" xfId="0" applyNumberFormat="1" applyFont="1"/>
    <xf numFmtId="177" fontId="6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0" fontId="9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166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center"/>
    </xf>
    <xf numFmtId="0" fontId="15" fillId="0" borderId="0" xfId="0" applyFont="1" applyFill="1"/>
    <xf numFmtId="0" fontId="5" fillId="0" borderId="2" xfId="0" applyFont="1" applyFill="1" applyBorder="1"/>
    <xf numFmtId="169" fontId="0" fillId="0" borderId="2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165" fontId="6" fillId="4" borderId="0" xfId="0" applyNumberFormat="1" applyFont="1" applyFill="1" applyAlignment="1">
      <alignment horizontal="center"/>
    </xf>
    <xf numFmtId="179" fontId="8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</cellXfs>
  <cellStyles count="6">
    <cellStyle name="Hyperlinkki" xfId="5" builtinId="8"/>
    <cellStyle name="Normaali" xfId="0" builtinId="0"/>
    <cellStyle name="Otsikko" xfId="1" builtinId="15" customBuiltin="1"/>
    <cellStyle name="Otsikko1" xfId="2" xr:uid="{00000000-0005-0000-0000-000002000000}"/>
    <cellStyle name="Tulos" xfId="3" xr:uid="{00000000-0005-0000-0000-000003000000}"/>
    <cellStyle name="Tulos2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rri.hemila@helsinki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7CAF-5A10-4E1E-AEB4-D92E61BDCDC4}">
  <dimension ref="A1:A15"/>
  <sheetViews>
    <sheetView workbookViewId="0">
      <selection activeCell="A6" sqref="A6"/>
    </sheetView>
  </sheetViews>
  <sheetFormatPr defaultRowHeight="28.5" x14ac:dyDescent="0.45"/>
  <cols>
    <col min="1" max="1" width="23.140625" style="69" bestFit="1" customWidth="1"/>
    <col min="2" max="16384" width="9.140625" style="69"/>
  </cols>
  <sheetData>
    <row r="1" spans="1:1" s="71" customFormat="1" ht="31.5" x14ac:dyDescent="0.5">
      <c r="A1" s="72" t="s">
        <v>136</v>
      </c>
    </row>
    <row r="2" spans="1:1" s="71" customFormat="1" ht="31.5" x14ac:dyDescent="0.5"/>
    <row r="3" spans="1:1" s="71" customFormat="1" ht="31.5" x14ac:dyDescent="0.5">
      <c r="A3" s="71" t="s">
        <v>74</v>
      </c>
    </row>
    <row r="4" spans="1:1" s="71" customFormat="1" ht="31.5" x14ac:dyDescent="0.5"/>
    <row r="5" spans="1:1" s="71" customFormat="1" ht="31.5" x14ac:dyDescent="0.5">
      <c r="A5" s="72" t="s">
        <v>154</v>
      </c>
    </row>
    <row r="6" spans="1:1" s="71" customFormat="1" ht="31.5" x14ac:dyDescent="0.5">
      <c r="A6" s="71" t="s">
        <v>75</v>
      </c>
    </row>
    <row r="7" spans="1:1" s="71" customFormat="1" ht="31.5" x14ac:dyDescent="0.5">
      <c r="A7" s="71" t="s">
        <v>76</v>
      </c>
    </row>
    <row r="8" spans="1:1" s="71" customFormat="1" ht="31.5" x14ac:dyDescent="0.5"/>
    <row r="9" spans="1:1" s="71" customFormat="1" ht="31.5" x14ac:dyDescent="0.5"/>
    <row r="10" spans="1:1" s="71" customFormat="1" ht="31.5" x14ac:dyDescent="0.5">
      <c r="A10" s="122">
        <v>43781</v>
      </c>
    </row>
    <row r="11" spans="1:1" s="71" customFormat="1" ht="31.5" x14ac:dyDescent="0.5">
      <c r="A11" s="72"/>
    </row>
    <row r="12" spans="1:1" s="71" customFormat="1" ht="31.5" x14ac:dyDescent="0.5">
      <c r="A12" s="70"/>
    </row>
    <row r="13" spans="1:1" s="71" customFormat="1" ht="31.5" x14ac:dyDescent="0.5"/>
    <row r="14" spans="1:1" s="71" customFormat="1" ht="31.5" x14ac:dyDescent="0.5">
      <c r="A14" s="71" t="s">
        <v>77</v>
      </c>
    </row>
    <row r="15" spans="1:1" s="71" customFormat="1" ht="31.5" x14ac:dyDescent="0.5">
      <c r="A15" s="70" t="s">
        <v>78</v>
      </c>
    </row>
  </sheetData>
  <hyperlinks>
    <hyperlink ref="A15" r:id="rId1" xr:uid="{5A5A3646-6AC0-4757-88FF-D8BD8ACE90D9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topLeftCell="A10" zoomScale="140" zoomScaleNormal="140" workbookViewId="0">
      <selection activeCell="E25" sqref="E25"/>
    </sheetView>
  </sheetViews>
  <sheetFormatPr defaultColWidth="11.42578125" defaultRowHeight="15" x14ac:dyDescent="0.25"/>
  <cols>
    <col min="1" max="1" width="7.7109375" style="2" customWidth="1"/>
    <col min="2" max="2" width="17.7109375" customWidth="1"/>
    <col min="3" max="3" width="5.28515625" style="2" customWidth="1"/>
    <col min="4" max="4" width="17.42578125" customWidth="1"/>
    <col min="5" max="5" width="7.85546875" style="2" customWidth="1"/>
    <col min="6" max="6" width="13.5703125" style="2" customWidth="1"/>
    <col min="7" max="7" width="5.5703125" style="2" customWidth="1"/>
    <col min="8" max="8" width="7.85546875" style="2" customWidth="1"/>
    <col min="9" max="9" width="12.5703125" style="2" customWidth="1"/>
    <col min="10" max="10" width="11.7109375" style="2" customWidth="1"/>
    <col min="11" max="11" width="8.140625" style="2" customWidth="1"/>
    <col min="12" max="12" width="10.5703125" style="2" customWidth="1"/>
    <col min="13" max="13" width="8.85546875" style="2" customWidth="1"/>
    <col min="14" max="14" width="8.42578125" style="2" customWidth="1"/>
    <col min="15" max="15" width="19.7109375" style="2" customWidth="1"/>
  </cols>
  <sheetData>
    <row r="1" spans="1:16" ht="42" customHeight="1" x14ac:dyDescent="0.5">
      <c r="B1" s="72" t="s">
        <v>82</v>
      </c>
      <c r="C1" s="103"/>
      <c r="D1" s="72"/>
      <c r="M1" s="77" t="s">
        <v>36</v>
      </c>
      <c r="N1" s="77"/>
    </row>
    <row r="2" spans="1:16" ht="60" x14ac:dyDescent="0.25">
      <c r="A2" s="2" t="s">
        <v>37</v>
      </c>
      <c r="B2" s="40" t="s">
        <v>38</v>
      </c>
      <c r="C2" s="41"/>
      <c r="D2" s="40" t="s">
        <v>6</v>
      </c>
      <c r="E2" s="41" t="s">
        <v>39</v>
      </c>
      <c r="F2" s="41" t="s">
        <v>40</v>
      </c>
      <c r="G2" s="42" t="s">
        <v>41</v>
      </c>
      <c r="H2" s="41" t="s">
        <v>9</v>
      </c>
      <c r="I2" s="42" t="s">
        <v>42</v>
      </c>
      <c r="J2" s="42" t="s">
        <v>106</v>
      </c>
      <c r="K2" s="41" t="s">
        <v>43</v>
      </c>
      <c r="L2" s="41" t="s">
        <v>43</v>
      </c>
      <c r="M2" s="41" t="s">
        <v>26</v>
      </c>
      <c r="N2" s="42" t="s">
        <v>44</v>
      </c>
      <c r="O2" s="41" t="s">
        <v>120</v>
      </c>
    </row>
    <row r="3" spans="1:16" x14ac:dyDescent="0.25">
      <c r="B3" s="79" t="s">
        <v>162</v>
      </c>
      <c r="C3" s="44"/>
      <c r="D3" s="98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6" x14ac:dyDescent="0.25">
      <c r="A4" s="38">
        <v>2018</v>
      </c>
      <c r="B4" s="43" t="s">
        <v>107</v>
      </c>
      <c r="C4" s="104" t="s">
        <v>11</v>
      </c>
      <c r="D4" s="100" t="s">
        <v>123</v>
      </c>
      <c r="E4" s="44" t="s">
        <v>27</v>
      </c>
      <c r="F4" s="44" t="s">
        <v>46</v>
      </c>
      <c r="G4" s="44">
        <v>60</v>
      </c>
      <c r="H4" s="44">
        <v>137</v>
      </c>
      <c r="I4" s="44">
        <f>H4</f>
        <v>137</v>
      </c>
      <c r="J4" s="44"/>
      <c r="K4" s="44">
        <v>86</v>
      </c>
      <c r="L4" s="47">
        <f t="shared" ref="L4:L6" si="0">K4/H4</f>
        <v>0.62773722627737227</v>
      </c>
      <c r="M4" s="46" t="s">
        <v>11</v>
      </c>
      <c r="N4" s="67">
        <v>3</v>
      </c>
      <c r="O4" s="2">
        <v>2</v>
      </c>
      <c r="P4" s="75" t="str">
        <f t="shared" ref="P4:P11" si="1">B4</f>
        <v>Amini 2018 [7]</v>
      </c>
    </row>
    <row r="5" spans="1:16" x14ac:dyDescent="0.25">
      <c r="A5" s="38">
        <v>2012</v>
      </c>
      <c r="B5" s="43" t="s">
        <v>108</v>
      </c>
      <c r="C5" s="104" t="s">
        <v>11</v>
      </c>
      <c r="D5" s="99" t="s">
        <v>114</v>
      </c>
      <c r="E5" s="44" t="s">
        <v>47</v>
      </c>
      <c r="F5" s="44" t="s">
        <v>46</v>
      </c>
      <c r="G5" s="44">
        <v>63</v>
      </c>
      <c r="H5" s="44">
        <v>185</v>
      </c>
      <c r="I5" s="44">
        <f t="shared" ref="I5:I9" si="2">H5</f>
        <v>185</v>
      </c>
      <c r="J5" s="67">
        <f>H5</f>
        <v>185</v>
      </c>
      <c r="K5" s="44">
        <v>124</v>
      </c>
      <c r="L5" s="47">
        <f t="shared" si="0"/>
        <v>0.67027027027027031</v>
      </c>
      <c r="M5" s="46" t="s">
        <v>11</v>
      </c>
      <c r="N5" s="67">
        <v>2</v>
      </c>
      <c r="O5" s="2">
        <v>5</v>
      </c>
      <c r="P5" s="75" t="str">
        <f t="shared" si="1"/>
        <v>Bjordahl 2012 [6]</v>
      </c>
    </row>
    <row r="6" spans="1:16" x14ac:dyDescent="0.25">
      <c r="A6" s="38">
        <v>2014</v>
      </c>
      <c r="B6" s="43" t="s">
        <v>109</v>
      </c>
      <c r="C6" s="104" t="s">
        <v>11</v>
      </c>
      <c r="D6" s="100" t="s">
        <v>122</v>
      </c>
      <c r="E6" s="44" t="s">
        <v>27</v>
      </c>
      <c r="F6" s="44" t="s">
        <v>46</v>
      </c>
      <c r="G6" s="44">
        <v>61</v>
      </c>
      <c r="H6" s="44">
        <v>100</v>
      </c>
      <c r="I6" s="44">
        <f t="shared" si="2"/>
        <v>100</v>
      </c>
      <c r="J6" s="67">
        <f>H6</f>
        <v>100</v>
      </c>
      <c r="K6" s="44">
        <v>74</v>
      </c>
      <c r="L6" s="47">
        <f t="shared" si="0"/>
        <v>0.74</v>
      </c>
      <c r="M6" s="46" t="s">
        <v>11</v>
      </c>
      <c r="N6" s="67">
        <v>1</v>
      </c>
      <c r="O6" s="2">
        <v>5</v>
      </c>
      <c r="P6" s="75" t="str">
        <f t="shared" si="1"/>
        <v>Dehghani 2014 [8]</v>
      </c>
    </row>
    <row r="7" spans="1:16" x14ac:dyDescent="0.25">
      <c r="A7" s="38">
        <v>2014</v>
      </c>
      <c r="B7" s="43" t="s">
        <v>110</v>
      </c>
      <c r="C7" s="104" t="s">
        <v>12</v>
      </c>
      <c r="D7" s="99" t="s">
        <v>116</v>
      </c>
      <c r="E7" s="44" t="s">
        <v>45</v>
      </c>
      <c r="F7" s="44" t="s">
        <v>46</v>
      </c>
      <c r="G7" s="44">
        <v>55</v>
      </c>
      <c r="H7" s="44">
        <v>40</v>
      </c>
      <c r="I7" s="44">
        <f t="shared" si="2"/>
        <v>40</v>
      </c>
      <c r="J7" s="44"/>
      <c r="K7" s="44">
        <v>29</v>
      </c>
      <c r="L7" s="47">
        <f>K7/H7</f>
        <v>0.72499999999999998</v>
      </c>
      <c r="M7" s="44" t="s">
        <v>12</v>
      </c>
      <c r="N7" s="44">
        <v>3</v>
      </c>
      <c r="O7" s="2">
        <v>5</v>
      </c>
      <c r="P7" s="75" t="str">
        <f t="shared" si="1"/>
        <v>Ebade 2014 [9]</v>
      </c>
    </row>
    <row r="8" spans="1:16" x14ac:dyDescent="0.25">
      <c r="A8" s="38">
        <v>2017</v>
      </c>
      <c r="B8" s="79" t="s">
        <v>111</v>
      </c>
      <c r="C8" s="104" t="s">
        <v>12</v>
      </c>
      <c r="D8" s="100" t="s">
        <v>115</v>
      </c>
      <c r="E8" s="44" t="s">
        <v>45</v>
      </c>
      <c r="F8" s="67" t="s">
        <v>85</v>
      </c>
      <c r="G8" s="44">
        <v>42</v>
      </c>
      <c r="H8" s="44">
        <v>100</v>
      </c>
      <c r="I8" s="44"/>
      <c r="J8" s="67">
        <f>H8</f>
        <v>100</v>
      </c>
      <c r="K8" s="44">
        <v>58</v>
      </c>
      <c r="L8" s="47">
        <f>K8/H8</f>
        <v>0.57999999999999996</v>
      </c>
      <c r="M8" s="44" t="s">
        <v>12</v>
      </c>
      <c r="N8" s="44">
        <v>6</v>
      </c>
      <c r="O8" s="2" t="s">
        <v>129</v>
      </c>
      <c r="P8" s="75" t="str">
        <f t="shared" si="1"/>
        <v>Habib 2017 [5]</v>
      </c>
    </row>
    <row r="9" spans="1:16" s="31" customFormat="1" x14ac:dyDescent="0.25">
      <c r="A9" s="117">
        <v>2017</v>
      </c>
      <c r="B9" s="137" t="s">
        <v>161</v>
      </c>
      <c r="C9" s="104" t="s">
        <v>12</v>
      </c>
      <c r="D9" s="100" t="s">
        <v>115</v>
      </c>
      <c r="E9" s="104" t="s">
        <v>27</v>
      </c>
      <c r="F9" s="44" t="s">
        <v>46</v>
      </c>
      <c r="G9" s="104">
        <v>57</v>
      </c>
      <c r="H9" s="104">
        <v>58</v>
      </c>
      <c r="I9" s="44">
        <f t="shared" si="2"/>
        <v>58</v>
      </c>
      <c r="J9" s="67">
        <f>H9</f>
        <v>58</v>
      </c>
      <c r="K9" s="104">
        <v>45</v>
      </c>
      <c r="L9" s="138">
        <f>K9/H9</f>
        <v>0.77586206896551724</v>
      </c>
      <c r="M9" s="104" t="s">
        <v>12</v>
      </c>
      <c r="N9" s="104" t="s">
        <v>164</v>
      </c>
      <c r="O9" s="91">
        <v>1</v>
      </c>
      <c r="P9" s="139" t="str">
        <f t="shared" si="1"/>
        <v>Safaei 2017 []</v>
      </c>
    </row>
    <row r="10" spans="1:16" x14ac:dyDescent="0.25">
      <c r="A10" s="38">
        <v>2000</v>
      </c>
      <c r="B10" s="45" t="s">
        <v>112</v>
      </c>
      <c r="C10" s="104" t="s">
        <v>12</v>
      </c>
      <c r="D10" s="99" t="s">
        <v>117</v>
      </c>
      <c r="E10" s="44" t="s">
        <v>50</v>
      </c>
      <c r="F10" s="46" t="s">
        <v>51</v>
      </c>
      <c r="G10" s="44">
        <v>45</v>
      </c>
      <c r="H10" s="44">
        <v>37</v>
      </c>
      <c r="I10" s="44"/>
      <c r="J10" s="44"/>
      <c r="K10" s="44">
        <v>25</v>
      </c>
      <c r="L10" s="47">
        <f>K10/H10</f>
        <v>0.67567567567567566</v>
      </c>
      <c r="M10" s="44" t="s">
        <v>12</v>
      </c>
      <c r="N10" s="44" t="s">
        <v>165</v>
      </c>
      <c r="O10" s="2">
        <v>1</v>
      </c>
      <c r="P10" s="75" t="str">
        <f t="shared" si="1"/>
        <v>Tanaka 2000 [10]</v>
      </c>
    </row>
    <row r="11" spans="1:16" x14ac:dyDescent="0.25">
      <c r="A11" s="38">
        <v>2016</v>
      </c>
      <c r="B11" s="45" t="s">
        <v>113</v>
      </c>
      <c r="C11" s="104" t="s">
        <v>12</v>
      </c>
      <c r="D11" s="99" t="s">
        <v>114</v>
      </c>
      <c r="E11" s="44" t="s">
        <v>27</v>
      </c>
      <c r="F11" s="46" t="s">
        <v>49</v>
      </c>
      <c r="G11" s="44">
        <v>64</v>
      </c>
      <c r="H11" s="44">
        <v>28</v>
      </c>
      <c r="I11" s="44"/>
      <c r="J11" s="67">
        <f>H11</f>
        <v>28</v>
      </c>
      <c r="K11" s="44">
        <v>21</v>
      </c>
      <c r="L11" s="47">
        <f>K11/H11</f>
        <v>0.75</v>
      </c>
      <c r="M11" s="44" t="s">
        <v>12</v>
      </c>
      <c r="N11" s="44" t="s">
        <v>166</v>
      </c>
      <c r="O11" s="2">
        <v>3</v>
      </c>
      <c r="P11" s="75" t="str">
        <f t="shared" si="1"/>
        <v>Zabet 2016 [11]</v>
      </c>
    </row>
    <row r="12" spans="1:16" x14ac:dyDescent="0.25">
      <c r="A12" s="117"/>
      <c r="B12" s="118"/>
      <c r="C12" s="114"/>
      <c r="D12" s="119"/>
      <c r="E12" s="114"/>
      <c r="F12" s="114"/>
      <c r="G12" s="114"/>
      <c r="H12" s="114"/>
      <c r="I12" s="114"/>
      <c r="J12" s="114"/>
      <c r="K12" s="114"/>
      <c r="L12" s="120"/>
      <c r="M12" s="116"/>
      <c r="N12" s="4" t="s">
        <v>169</v>
      </c>
      <c r="P12" s="75"/>
    </row>
    <row r="13" spans="1:16" x14ac:dyDescent="0.25">
      <c r="B13" s="76">
        <f>COUNTA(B4:B11)</f>
        <v>8</v>
      </c>
      <c r="D13" s="2"/>
      <c r="F13" s="2" t="s">
        <v>52</v>
      </c>
      <c r="G13" s="2">
        <f>MIN(G4:G11)</f>
        <v>42</v>
      </c>
      <c r="I13" s="91"/>
      <c r="J13" s="91">
        <f>SUM(J4:J11)</f>
        <v>471</v>
      </c>
      <c r="K13" s="2">
        <f>SUM(K4:K11)</f>
        <v>462</v>
      </c>
      <c r="L13" s="48">
        <f>MIN(L4:L11)</f>
        <v>0.57999999999999996</v>
      </c>
      <c r="N13" s="4" t="s">
        <v>168</v>
      </c>
    </row>
    <row r="14" spans="1:16" x14ac:dyDescent="0.25">
      <c r="F14" s="2" t="s">
        <v>53</v>
      </c>
      <c r="G14" s="2">
        <f>MAX(G4:G11)</f>
        <v>64</v>
      </c>
      <c r="I14" s="91"/>
      <c r="J14" s="91"/>
      <c r="L14" s="48">
        <f>MAX(L4:L11)</f>
        <v>0.77586206896551724</v>
      </c>
      <c r="N14" s="4" t="s">
        <v>167</v>
      </c>
    </row>
    <row r="15" spans="1:16" x14ac:dyDescent="0.25">
      <c r="F15" s="2" t="s">
        <v>55</v>
      </c>
      <c r="G15" s="2">
        <f>MEDIAN(G4:G11)</f>
        <v>58.5</v>
      </c>
      <c r="H15" s="91"/>
      <c r="I15" s="31"/>
      <c r="J15" s="31"/>
      <c r="K15" s="19"/>
      <c r="L15" s="48">
        <f>MEDIAN(L4:L11)</f>
        <v>0.70033783783783776</v>
      </c>
      <c r="N15" s="2" t="s">
        <v>101</v>
      </c>
    </row>
    <row r="16" spans="1:16" x14ac:dyDescent="0.25">
      <c r="F16" s="140" t="s">
        <v>187</v>
      </c>
      <c r="H16" s="2">
        <f>H8+H11</f>
        <v>128</v>
      </c>
      <c r="I16" s="31"/>
      <c r="J16" s="31"/>
      <c r="K16" s="19"/>
      <c r="L16" s="19"/>
      <c r="M16" s="2">
        <f>COUNTIF(M4:M11,"=iv")</f>
        <v>5</v>
      </c>
      <c r="N16" s="4" t="s">
        <v>56</v>
      </c>
    </row>
    <row r="17" spans="1:16" x14ac:dyDescent="0.25">
      <c r="F17" s="141" t="s">
        <v>188</v>
      </c>
      <c r="H17" s="91">
        <f>SUM(H4:H11)</f>
        <v>685</v>
      </c>
      <c r="I17" s="31"/>
      <c r="J17" s="31"/>
      <c r="K17" s="19"/>
      <c r="L17" s="19"/>
      <c r="M17" s="2">
        <f>COUNTIF(M4:M11,"=po")</f>
        <v>3</v>
      </c>
      <c r="N17" s="4" t="s">
        <v>57</v>
      </c>
    </row>
    <row r="18" spans="1:16" x14ac:dyDescent="0.25">
      <c r="H18" s="91"/>
      <c r="I18" s="31"/>
      <c r="J18" s="31"/>
      <c r="K18" s="19"/>
      <c r="L18" s="19"/>
      <c r="N18" s="4"/>
    </row>
    <row r="19" spans="1:16" x14ac:dyDescent="0.25">
      <c r="A19" s="117">
        <v>2015</v>
      </c>
      <c r="B19" s="118" t="s">
        <v>134</v>
      </c>
      <c r="C19" s="114" t="s">
        <v>11</v>
      </c>
      <c r="D19" s="115" t="s">
        <v>114</v>
      </c>
      <c r="E19" s="114" t="s">
        <v>27</v>
      </c>
      <c r="F19" s="114" t="s">
        <v>46</v>
      </c>
      <c r="G19" s="114">
        <v>56</v>
      </c>
      <c r="H19" s="114">
        <v>290</v>
      </c>
      <c r="I19" s="114">
        <v>290</v>
      </c>
      <c r="J19" s="114">
        <v>290</v>
      </c>
      <c r="K19" s="114">
        <v>191</v>
      </c>
      <c r="L19" s="47">
        <f>K19/H19</f>
        <v>0.6586206896551724</v>
      </c>
      <c r="M19" s="116" t="s">
        <v>11</v>
      </c>
      <c r="N19" s="116">
        <v>1</v>
      </c>
      <c r="O19" s="2">
        <v>5</v>
      </c>
      <c r="P19" s="75"/>
    </row>
    <row r="20" spans="1:16" x14ac:dyDescent="0.25">
      <c r="F20" s="141" t="s">
        <v>189</v>
      </c>
      <c r="H20" s="2">
        <f>H17+H19</f>
        <v>975</v>
      </c>
    </row>
    <row r="21" spans="1:16" x14ac:dyDescent="0.25">
      <c r="D21" t="s">
        <v>27</v>
      </c>
    </row>
    <row r="22" spans="1:16" x14ac:dyDescent="0.25">
      <c r="F22" s="121" t="s">
        <v>54</v>
      </c>
      <c r="I22" s="2">
        <f>SUM(I4:I19)</f>
        <v>810</v>
      </c>
    </row>
    <row r="23" spans="1:16" x14ac:dyDescent="0.25">
      <c r="F23" s="140" t="s">
        <v>187</v>
      </c>
      <c r="H23" s="2">
        <f>H8+H11</f>
        <v>128</v>
      </c>
    </row>
    <row r="25" spans="1:16" x14ac:dyDescent="0.25">
      <c r="G25" s="49" t="s">
        <v>126</v>
      </c>
      <c r="M25" s="39" t="s">
        <v>14</v>
      </c>
      <c r="N25" s="39" t="s">
        <v>14</v>
      </c>
    </row>
    <row r="26" spans="1:16" x14ac:dyDescent="0.25">
      <c r="H26" s="26"/>
      <c r="I26" s="39" t="s">
        <v>58</v>
      </c>
      <c r="J26" s="39" t="s">
        <v>59</v>
      </c>
      <c r="L26" s="29" t="s">
        <v>128</v>
      </c>
      <c r="M26" s="39" t="s">
        <v>60</v>
      </c>
      <c r="N26" s="39" t="s">
        <v>61</v>
      </c>
    </row>
    <row r="27" spans="1:16" x14ac:dyDescent="0.25">
      <c r="H27" s="26"/>
    </row>
    <row r="28" spans="1:16" x14ac:dyDescent="0.25">
      <c r="H28" s="29" t="s">
        <v>119</v>
      </c>
      <c r="I28" s="2" t="s">
        <v>99</v>
      </c>
      <c r="J28" s="2">
        <v>1500</v>
      </c>
      <c r="L28" s="2">
        <v>2</v>
      </c>
      <c r="M28" s="2">
        <f>J28*L28</f>
        <v>3000</v>
      </c>
      <c r="N28" s="106">
        <f>M28/1000</f>
        <v>3</v>
      </c>
    </row>
    <row r="29" spans="1:16" x14ac:dyDescent="0.25">
      <c r="H29" s="29" t="s">
        <v>125</v>
      </c>
      <c r="I29" s="2" t="s">
        <v>99</v>
      </c>
      <c r="J29" s="2">
        <v>1000</v>
      </c>
      <c r="L29" s="2">
        <v>2</v>
      </c>
      <c r="M29" s="2">
        <f t="shared" ref="M29:M32" si="3">J29*L29</f>
        <v>2000</v>
      </c>
      <c r="N29" s="106">
        <f>M29/1000</f>
        <v>2</v>
      </c>
    </row>
    <row r="30" spans="1:16" x14ac:dyDescent="0.25">
      <c r="H30" s="29" t="s">
        <v>124</v>
      </c>
      <c r="I30" s="2" t="s">
        <v>99</v>
      </c>
      <c r="J30" s="2">
        <v>500</v>
      </c>
      <c r="L30" s="2">
        <v>2</v>
      </c>
      <c r="M30" s="2">
        <f t="shared" si="3"/>
        <v>1000</v>
      </c>
      <c r="N30" s="106">
        <f>M30/1000</f>
        <v>1</v>
      </c>
    </row>
    <row r="31" spans="1:16" x14ac:dyDescent="0.25">
      <c r="H31" s="105" t="s">
        <v>127</v>
      </c>
      <c r="I31" s="2" t="s">
        <v>99</v>
      </c>
      <c r="J31" s="2">
        <v>1000</v>
      </c>
      <c r="L31" s="2">
        <v>3</v>
      </c>
      <c r="M31" s="2">
        <f t="shared" si="3"/>
        <v>3000</v>
      </c>
      <c r="N31" s="106">
        <f>M31/1000</f>
        <v>3</v>
      </c>
    </row>
    <row r="32" spans="1:16" x14ac:dyDescent="0.25">
      <c r="H32" s="29" t="s">
        <v>118</v>
      </c>
      <c r="I32" s="2" t="s">
        <v>99</v>
      </c>
      <c r="J32" s="2">
        <v>1500</v>
      </c>
      <c r="L32" s="2">
        <v>4</v>
      </c>
      <c r="M32" s="2">
        <f t="shared" si="3"/>
        <v>6000</v>
      </c>
      <c r="N32" s="106">
        <f>M32/1000</f>
        <v>6</v>
      </c>
    </row>
    <row r="33" spans="5:16" x14ac:dyDescent="0.25">
      <c r="H33" s="29"/>
      <c r="N33" s="50"/>
    </row>
    <row r="34" spans="5:16" x14ac:dyDescent="0.25">
      <c r="H34" s="49" t="s">
        <v>137</v>
      </c>
      <c r="N34" s="50"/>
    </row>
    <row r="35" spans="5:16" x14ac:dyDescent="0.25">
      <c r="H35" s="29"/>
      <c r="K35" s="39"/>
      <c r="N35" s="50"/>
    </row>
    <row r="36" spans="5:16" x14ac:dyDescent="0.25">
      <c r="H36" s="29"/>
      <c r="K36" s="76"/>
      <c r="N36" s="50"/>
    </row>
    <row r="37" spans="5:16" x14ac:dyDescent="0.25">
      <c r="H37" s="29"/>
      <c r="K37" s="76" t="s">
        <v>138</v>
      </c>
      <c r="N37" s="50"/>
      <c r="O37" s="2" t="s">
        <v>140</v>
      </c>
    </row>
    <row r="38" spans="5:16" x14ac:dyDescent="0.25">
      <c r="H38" s="29"/>
      <c r="K38" s="76"/>
      <c r="N38" s="50"/>
    </row>
    <row r="39" spans="5:16" x14ac:dyDescent="0.25">
      <c r="E39" s="2" t="s">
        <v>8</v>
      </c>
      <c r="F39" s="2" t="s">
        <v>139</v>
      </c>
      <c r="H39" s="29"/>
      <c r="K39" s="76"/>
      <c r="L39" s="2" t="s">
        <v>142</v>
      </c>
    </row>
    <row r="40" spans="5:16" x14ac:dyDescent="0.25">
      <c r="E40" s="2">
        <v>9.5</v>
      </c>
      <c r="F40" s="50">
        <v>57</v>
      </c>
      <c r="H40" s="29" t="s">
        <v>63</v>
      </c>
      <c r="I40" s="97" t="s">
        <v>64</v>
      </c>
      <c r="J40" s="2">
        <v>66</v>
      </c>
      <c r="K40" s="50">
        <v>57</v>
      </c>
      <c r="L40" s="2">
        <v>24</v>
      </c>
      <c r="M40" s="2">
        <f>J40*K40*L40</f>
        <v>90288</v>
      </c>
      <c r="N40" s="50">
        <f>M40/1000</f>
        <v>90.287999999999997</v>
      </c>
      <c r="O40" s="106">
        <f>N40</f>
        <v>90.287999999999997</v>
      </c>
      <c r="P40" s="2"/>
    </row>
    <row r="41" spans="5:16" x14ac:dyDescent="0.25">
      <c r="H41" s="29"/>
      <c r="I41" s="97"/>
      <c r="O41" s="21"/>
      <c r="P41" s="106"/>
    </row>
    <row r="42" spans="5:16" x14ac:dyDescent="0.25">
      <c r="H42" s="29"/>
      <c r="I42" s="97"/>
      <c r="L42" s="2" t="s">
        <v>141</v>
      </c>
      <c r="O42" s="21"/>
      <c r="P42" s="106"/>
    </row>
    <row r="43" spans="5:16" x14ac:dyDescent="0.25">
      <c r="H43" s="29" t="s">
        <v>65</v>
      </c>
      <c r="I43" s="97" t="s">
        <v>62</v>
      </c>
      <c r="J43" s="2">
        <v>25</v>
      </c>
      <c r="K43" s="2">
        <v>60</v>
      </c>
      <c r="L43" s="2">
        <v>4</v>
      </c>
      <c r="M43" s="2">
        <f>J43*K43*L43</f>
        <v>6000</v>
      </c>
      <c r="N43" s="106">
        <f>M43/1000</f>
        <v>6</v>
      </c>
      <c r="O43" s="21"/>
      <c r="P43" s="106"/>
    </row>
    <row r="44" spans="5:16" x14ac:dyDescent="0.25">
      <c r="P44" s="2"/>
    </row>
    <row r="45" spans="5:16" x14ac:dyDescent="0.25">
      <c r="H45" s="29" t="s">
        <v>163</v>
      </c>
      <c r="I45" s="97" t="s">
        <v>62</v>
      </c>
      <c r="J45" s="2">
        <v>25</v>
      </c>
      <c r="K45" s="2">
        <v>74</v>
      </c>
      <c r="L45" s="2">
        <v>1</v>
      </c>
      <c r="M45" s="2">
        <f>J45*K45*L45</f>
        <v>1850</v>
      </c>
      <c r="N45" s="21">
        <f>M45/1000</f>
        <v>1.85</v>
      </c>
    </row>
    <row r="49" spans="8:10" x14ac:dyDescent="0.25">
      <c r="H49" s="2" t="s">
        <v>160</v>
      </c>
      <c r="I49" s="2" t="s">
        <v>172</v>
      </c>
      <c r="J49" s="2" t="s">
        <v>172</v>
      </c>
    </row>
    <row r="50" spans="8:10" x14ac:dyDescent="0.25">
      <c r="H50" s="2" t="s">
        <v>9</v>
      </c>
      <c r="I50" s="2" t="s">
        <v>147</v>
      </c>
      <c r="J50" s="2" t="s">
        <v>8</v>
      </c>
    </row>
    <row r="51" spans="8:10" x14ac:dyDescent="0.25">
      <c r="H51" s="2">
        <v>29</v>
      </c>
      <c r="I51" s="2">
        <v>1.7</v>
      </c>
      <c r="J51" s="106">
        <f>I51*SQRT(H51)</f>
        <v>9.1547801721286568</v>
      </c>
    </row>
  </sheetData>
  <sheetProtection selectLockedCells="1" selectUnlockedCells="1"/>
  <pageMargins left="0.78749999999999998" right="0.78749999999999998" top="0.63124999999999998" bottom="0.63124999999999998" header="0.39374999999999999" footer="0.39374999999999999"/>
  <pageSetup paperSize="9" firstPageNumber="0" orientation="landscape" horizontalDpi="300" verticalDpi="300" r:id="rId1"/>
  <headerFooter alignWithMargins="0">
    <oddHeader>&amp;C&amp;"Arial,Normaali"&amp;10&amp;A</oddHeader>
    <oddFooter>&amp;C&amp;"Arial,Normaali"&amp;10Page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65525"/>
  <sheetViews>
    <sheetView topLeftCell="A3" zoomScale="90" zoomScaleNormal="90" workbookViewId="0">
      <selection activeCell="I18" sqref="I18"/>
    </sheetView>
  </sheetViews>
  <sheetFormatPr defaultColWidth="11.42578125" defaultRowHeight="12.2" customHeight="1" x14ac:dyDescent="0.25"/>
  <cols>
    <col min="1" max="1" width="5.5703125" style="3" customWidth="1"/>
    <col min="2" max="2" width="15.85546875" customWidth="1"/>
    <col min="3" max="3" width="5.140625" style="2" customWidth="1"/>
    <col min="4" max="4" width="6.7109375" style="2" customWidth="1"/>
    <col min="5" max="5" width="8.140625" style="2" customWidth="1"/>
    <col min="6" max="6" width="8.5703125" customWidth="1"/>
    <col min="7" max="7" width="8.7109375" customWidth="1"/>
    <col min="8" max="8" width="7.140625" style="3" customWidth="1"/>
    <col min="9" max="10" width="8.5703125" customWidth="1"/>
    <col min="11" max="11" width="5.85546875" style="3" customWidth="1"/>
    <col min="12" max="12" width="8" style="88" customWidth="1"/>
    <col min="13" max="16" width="8" style="3" customWidth="1"/>
    <col min="17" max="17" width="8" customWidth="1"/>
    <col min="18" max="18" width="6" customWidth="1"/>
    <col min="19" max="19" width="8.7109375" customWidth="1"/>
    <col min="20" max="20" width="3.42578125" customWidth="1"/>
    <col min="21" max="21" width="7.42578125" customWidth="1"/>
    <col min="22" max="22" width="7.85546875" customWidth="1"/>
    <col min="23" max="23" width="6.85546875" customWidth="1"/>
    <col min="24" max="24" width="9.7109375" customWidth="1"/>
    <col min="25" max="25" width="10.28515625" customWidth="1"/>
    <col min="26" max="26" width="10.140625" customWidth="1"/>
    <col min="27" max="28" width="8" customWidth="1"/>
    <col min="29" max="29" width="10.28515625" customWidth="1"/>
    <col min="30" max="30" width="10.140625" customWidth="1"/>
    <col min="31" max="31" width="8.7109375" customWidth="1"/>
    <col min="32" max="32" width="13.28515625" customWidth="1"/>
    <col min="33" max="33" width="2.140625" customWidth="1"/>
    <col min="34" max="34" width="8.85546875" customWidth="1"/>
    <col min="35" max="36" width="8.28515625" style="4" customWidth="1"/>
    <col min="37" max="37" width="23.28515625" customWidth="1"/>
    <col min="38" max="38" width="14.85546875" customWidth="1"/>
    <col min="39" max="39" width="11.42578125" customWidth="1"/>
    <col min="40" max="40" width="8.140625" style="2" customWidth="1"/>
    <col min="41" max="41" width="8.5703125" style="2" customWidth="1"/>
    <col min="42" max="42" width="13.5703125" style="2" customWidth="1"/>
    <col min="43" max="43" width="8.28515625" style="2" customWidth="1"/>
    <col min="44" max="44" width="8.85546875" style="2" customWidth="1"/>
    <col min="45" max="45" width="14.7109375" style="2" customWidth="1"/>
    <col min="46" max="46" width="13.28515625" style="2" customWidth="1"/>
  </cols>
  <sheetData>
    <row r="1" spans="1:46" ht="33" customHeight="1" x14ac:dyDescent="0.25">
      <c r="B1" s="73" t="s">
        <v>80</v>
      </c>
      <c r="C1" s="101"/>
      <c r="D1" s="88"/>
      <c r="E1" s="88"/>
    </row>
    <row r="2" spans="1:46" ht="12.2" customHeight="1" x14ac:dyDescent="0.25">
      <c r="H2" s="26"/>
      <c r="K2" s="26"/>
      <c r="L2" s="76"/>
      <c r="M2" s="26"/>
      <c r="N2" s="26"/>
      <c r="O2" s="26"/>
      <c r="P2" s="26"/>
      <c r="Q2" s="6"/>
      <c r="R2" s="6"/>
      <c r="S2" s="8"/>
      <c r="T2" s="6"/>
      <c r="U2" s="34"/>
      <c r="V2" s="35"/>
      <c r="W2" s="34"/>
      <c r="X2" s="33"/>
      <c r="Y2" s="33"/>
      <c r="Z2" s="6"/>
      <c r="AA2" s="6"/>
      <c r="AB2" s="6"/>
    </row>
    <row r="3" spans="1:46" s="26" customFormat="1" ht="12.2" customHeight="1" x14ac:dyDescent="0.25">
      <c r="A3" s="3"/>
      <c r="B3" s="3"/>
      <c r="C3" s="88"/>
      <c r="D3" s="88"/>
      <c r="E3" s="88"/>
      <c r="G3" s="68" t="s">
        <v>0</v>
      </c>
      <c r="H3" s="3"/>
      <c r="K3" s="3"/>
      <c r="L3" s="88"/>
      <c r="M3" s="3"/>
      <c r="N3" s="3"/>
      <c r="O3" s="3"/>
      <c r="P3" s="3"/>
      <c r="S3" s="68" t="s">
        <v>0</v>
      </c>
      <c r="AH3" s="66"/>
      <c r="AI3" s="49"/>
      <c r="AJ3" s="49"/>
      <c r="AK3" t="s">
        <v>2</v>
      </c>
      <c r="AN3" s="76"/>
      <c r="AO3" s="76"/>
      <c r="AP3" s="76"/>
      <c r="AQ3" s="76"/>
      <c r="AR3" s="66"/>
      <c r="AS3" s="76"/>
      <c r="AT3" s="66"/>
    </row>
    <row r="4" spans="1:46" ht="12.2" customHeight="1" x14ac:dyDescent="0.25">
      <c r="A4" s="1"/>
      <c r="B4" s="3"/>
      <c r="C4" s="88"/>
      <c r="D4" s="88"/>
      <c r="E4" s="88"/>
      <c r="F4">
        <v>213</v>
      </c>
      <c r="G4">
        <v>67</v>
      </c>
      <c r="H4" s="3">
        <v>9</v>
      </c>
      <c r="I4">
        <v>177</v>
      </c>
      <c r="J4">
        <v>40</v>
      </c>
      <c r="K4" s="3">
        <v>10</v>
      </c>
      <c r="S4" s="6">
        <f>F4/I4</f>
        <v>1.2033898305084745</v>
      </c>
      <c r="T4" s="7"/>
      <c r="U4" s="6">
        <f>(G4/F4)</f>
        <v>0.31455399061032863</v>
      </c>
      <c r="V4" s="8">
        <f>U4*U4/H4</f>
        <v>1.0993801445431411E-2</v>
      </c>
      <c r="W4" s="6">
        <f>(J4/I4)</f>
        <v>0.22598870056497175</v>
      </c>
      <c r="X4" s="8">
        <f>W4*W4/K4</f>
        <v>5.1070892783044459E-3</v>
      </c>
      <c r="Y4" s="9">
        <f>SQRT(V4+X4)</f>
        <v>0.12688928529917667</v>
      </c>
      <c r="Z4" s="10">
        <f>LN(S4)</f>
        <v>0.18514243313559589</v>
      </c>
      <c r="AA4" s="6">
        <f>Z4-1.96*Y4</f>
        <v>-6.3560566050790385E-2</v>
      </c>
      <c r="AB4" s="6">
        <f>Z4+1.96*Y4</f>
        <v>0.43384543232198214</v>
      </c>
      <c r="AC4" s="6">
        <f>EXP(AA4)</f>
        <v>0.93841728135073144</v>
      </c>
      <c r="AD4" s="6">
        <f>EXP(AB4)</f>
        <v>1.5431803238819224</v>
      </c>
      <c r="AE4" s="6">
        <f>EXP(Z4)</f>
        <v>1.2033898305084745</v>
      </c>
      <c r="AH4" s="2"/>
      <c r="AK4" t="s">
        <v>3</v>
      </c>
    </row>
    <row r="5" spans="1:46" ht="12.2" customHeight="1" x14ac:dyDescent="0.25">
      <c r="A5" s="1"/>
      <c r="B5" s="3"/>
      <c r="C5" s="88"/>
      <c r="D5" s="88"/>
      <c r="E5" s="88"/>
      <c r="U5" s="6"/>
      <c r="V5" s="7"/>
      <c r="W5" s="6"/>
      <c r="X5" s="8"/>
      <c r="Y5" s="6"/>
      <c r="Z5" s="8"/>
      <c r="AA5" s="6"/>
      <c r="AB5" s="6"/>
      <c r="AC5" s="5"/>
      <c r="AD5" s="6"/>
      <c r="AE5" s="6"/>
      <c r="AH5" s="2"/>
      <c r="AK5" t="s">
        <v>4</v>
      </c>
    </row>
    <row r="6" spans="1:46" ht="12.2" customHeight="1" x14ac:dyDescent="0.25">
      <c r="A6" s="1"/>
      <c r="B6" s="3"/>
      <c r="C6" s="88"/>
      <c r="D6" s="88"/>
      <c r="E6" s="88"/>
      <c r="F6" s="3" t="s">
        <v>66</v>
      </c>
      <c r="G6" s="3"/>
      <c r="M6" s="3" t="s">
        <v>66</v>
      </c>
      <c r="P6"/>
      <c r="S6" s="3"/>
      <c r="AH6" s="2"/>
    </row>
    <row r="7" spans="1:46" ht="12.2" customHeight="1" x14ac:dyDescent="0.25">
      <c r="A7" s="1"/>
      <c r="B7" s="3"/>
      <c r="C7" s="88"/>
      <c r="D7" s="88"/>
      <c r="E7" s="88"/>
      <c r="F7" s="3"/>
      <c r="G7" s="3"/>
      <c r="P7"/>
      <c r="S7" s="3" t="s">
        <v>159</v>
      </c>
      <c r="AH7" s="2"/>
    </row>
    <row r="8" spans="1:46" ht="12.2" customHeight="1" x14ac:dyDescent="0.25">
      <c r="A8" s="12"/>
      <c r="F8" s="11" t="s">
        <v>5</v>
      </c>
      <c r="G8" s="11"/>
      <c r="H8" s="11"/>
      <c r="I8" s="78" t="s">
        <v>131</v>
      </c>
      <c r="J8" s="13"/>
      <c r="K8" s="11"/>
      <c r="L8" s="76" t="s">
        <v>79</v>
      </c>
      <c r="M8" s="11" t="s">
        <v>5</v>
      </c>
      <c r="N8" s="11"/>
      <c r="O8" s="11"/>
      <c r="P8" s="78" t="s">
        <v>131</v>
      </c>
      <c r="Q8" s="13"/>
      <c r="R8" s="13"/>
      <c r="S8" s="11"/>
      <c r="AH8" s="2"/>
    </row>
    <row r="9" spans="1:46" ht="12.2" customHeight="1" x14ac:dyDescent="0.25">
      <c r="A9" s="1"/>
      <c r="F9" s="13" t="s">
        <v>7</v>
      </c>
      <c r="G9" s="13" t="s">
        <v>8</v>
      </c>
      <c r="H9" s="11" t="s">
        <v>9</v>
      </c>
      <c r="I9" s="13" t="s">
        <v>7</v>
      </c>
      <c r="J9" s="13" t="s">
        <v>8</v>
      </c>
      <c r="K9" s="11" t="s">
        <v>9</v>
      </c>
      <c r="L9" s="2"/>
      <c r="M9" s="13" t="s">
        <v>7</v>
      </c>
      <c r="N9" s="13" t="s">
        <v>8</v>
      </c>
      <c r="O9" s="11"/>
      <c r="P9" s="13" t="s">
        <v>7</v>
      </c>
      <c r="Q9" s="13" t="s">
        <v>8</v>
      </c>
      <c r="R9" s="13"/>
      <c r="S9" s="11"/>
      <c r="AH9" s="2"/>
    </row>
    <row r="10" spans="1:46" ht="12.2" customHeight="1" x14ac:dyDescent="0.25">
      <c r="A10" s="1"/>
      <c r="F10" s="13"/>
      <c r="G10" s="13"/>
      <c r="H10" s="11"/>
      <c r="I10" s="13"/>
      <c r="J10" s="13"/>
      <c r="K10" s="11"/>
      <c r="L10" s="2"/>
      <c r="M10" s="11"/>
      <c r="N10" s="11"/>
      <c r="O10" s="11"/>
      <c r="P10" s="11"/>
      <c r="S10" s="14" t="s">
        <v>13</v>
      </c>
      <c r="T10" s="15"/>
      <c r="U10" s="16" t="s">
        <v>14</v>
      </c>
      <c r="V10" s="17"/>
      <c r="W10" s="16" t="s">
        <v>15</v>
      </c>
      <c r="X10" s="17"/>
      <c r="Y10" s="18" t="s">
        <v>1</v>
      </c>
      <c r="Z10" s="18" t="s">
        <v>16</v>
      </c>
      <c r="AA10" s="16" t="s">
        <v>17</v>
      </c>
      <c r="AB10" s="16" t="s">
        <v>18</v>
      </c>
      <c r="AC10" s="16" t="s">
        <v>19</v>
      </c>
      <c r="AD10" s="16" t="s">
        <v>20</v>
      </c>
      <c r="AE10" s="16" t="s">
        <v>13</v>
      </c>
      <c r="AH10" s="2" t="s">
        <v>21</v>
      </c>
      <c r="AI10" s="4" t="s">
        <v>22</v>
      </c>
      <c r="AJ10" s="4" t="s">
        <v>23</v>
      </c>
    </row>
    <row r="11" spans="1:46" ht="12.2" customHeight="1" x14ac:dyDescent="0.25">
      <c r="A11" s="1"/>
      <c r="F11" s="13"/>
      <c r="G11" s="13"/>
      <c r="H11" s="11"/>
      <c r="I11" s="13"/>
      <c r="J11" s="13"/>
      <c r="K11" s="11"/>
      <c r="L11" s="2"/>
      <c r="M11" s="78" t="s">
        <v>83</v>
      </c>
      <c r="N11" s="11"/>
      <c r="O11" s="11"/>
      <c r="P11" s="11"/>
      <c r="S11" s="6"/>
      <c r="T11" s="15"/>
      <c r="U11" s="6"/>
      <c r="V11" s="8"/>
      <c r="W11" s="6"/>
      <c r="X11" s="8"/>
      <c r="Y11" s="9"/>
      <c r="Z11" s="10"/>
      <c r="AA11" s="6"/>
      <c r="AB11" s="6"/>
      <c r="AC11" s="6"/>
      <c r="AD11" s="6"/>
      <c r="AE11" s="6"/>
      <c r="AH11" s="2"/>
      <c r="AI11" s="20"/>
    </row>
    <row r="12" spans="1:46" ht="12.2" customHeight="1" x14ac:dyDescent="0.25">
      <c r="A12" s="1"/>
      <c r="B12" t="s">
        <v>24</v>
      </c>
      <c r="D12" s="2" t="s">
        <v>100</v>
      </c>
      <c r="E12" s="2" t="s">
        <v>59</v>
      </c>
      <c r="F12" s="13"/>
      <c r="G12" s="13"/>
      <c r="H12" s="11"/>
      <c r="I12" s="13"/>
      <c r="J12" s="13"/>
      <c r="K12" s="11"/>
      <c r="L12" s="38"/>
      <c r="M12" s="13"/>
      <c r="N12" s="13"/>
      <c r="O12" s="13"/>
      <c r="P12" s="89" t="s">
        <v>97</v>
      </c>
      <c r="Q12" s="12"/>
      <c r="S12" s="6"/>
      <c r="T12" s="15"/>
      <c r="U12" s="6"/>
      <c r="V12" s="8"/>
      <c r="W12" s="6"/>
      <c r="X12" s="8"/>
      <c r="Y12" s="110" t="s">
        <v>25</v>
      </c>
      <c r="Z12" s="111" t="s">
        <v>132</v>
      </c>
      <c r="AA12" s="6"/>
      <c r="AB12" s="6"/>
      <c r="AC12" s="6"/>
      <c r="AD12" s="6"/>
      <c r="AE12" s="6" t="s">
        <v>13</v>
      </c>
      <c r="AH12" s="2"/>
      <c r="AI12" s="22"/>
      <c r="AJ12" s="22"/>
      <c r="AL12" t="s">
        <v>24</v>
      </c>
      <c r="AM12" s="2" t="s">
        <v>67</v>
      </c>
      <c r="AN12" s="21" t="str">
        <f>AE12</f>
        <v>RoM</v>
      </c>
      <c r="AO12" s="28" t="str">
        <f>Y12</f>
        <v>seTE</v>
      </c>
      <c r="AP12" s="2" t="str">
        <f>P12</f>
        <v>Ventilation</v>
      </c>
      <c r="AQ12" s="2" t="str">
        <f>D12</f>
        <v>route</v>
      </c>
      <c r="AR12" s="2" t="str">
        <f>E12</f>
        <v>dose</v>
      </c>
    </row>
    <row r="13" spans="1:46" ht="12.2" customHeight="1" x14ac:dyDescent="0.25">
      <c r="A13" s="1"/>
      <c r="B13" s="26" t="s">
        <v>29</v>
      </c>
      <c r="C13" s="76"/>
      <c r="D13" s="2" t="s">
        <v>11</v>
      </c>
      <c r="E13" s="2">
        <v>3</v>
      </c>
      <c r="F13" s="13">
        <v>7.33</v>
      </c>
      <c r="G13" s="13">
        <v>6.02</v>
      </c>
      <c r="H13" s="11">
        <v>67</v>
      </c>
      <c r="I13" s="13">
        <v>6.68</v>
      </c>
      <c r="J13" s="13">
        <v>4.26</v>
      </c>
      <c r="K13" s="11">
        <v>70</v>
      </c>
      <c r="L13" s="38" t="s">
        <v>31</v>
      </c>
      <c r="M13" s="13">
        <f>F13</f>
        <v>7.33</v>
      </c>
      <c r="N13" s="13">
        <f t="shared" ref="N13:Q13" si="0">G13</f>
        <v>6.02</v>
      </c>
      <c r="O13" s="13"/>
      <c r="P13" s="109">
        <f t="shared" si="0"/>
        <v>6.68</v>
      </c>
      <c r="Q13" s="13">
        <f t="shared" si="0"/>
        <v>4.26</v>
      </c>
      <c r="S13" s="51">
        <f>F13/I13</f>
        <v>1.097305389221557</v>
      </c>
      <c r="T13" s="7"/>
      <c r="U13" s="6">
        <f>(G13/F13)</f>
        <v>0.82128240109140516</v>
      </c>
      <c r="V13" s="8">
        <f>U13*U13/H13</f>
        <v>1.0067235557350205E-2</v>
      </c>
      <c r="W13" s="6">
        <f>(J13/I13)</f>
        <v>0.63772455089820357</v>
      </c>
      <c r="X13" s="8">
        <f>W13*W13/K13</f>
        <v>5.809894325975935E-3</v>
      </c>
      <c r="Y13" s="9">
        <f>SQRT(V13+X13)</f>
        <v>0.12600448358422067</v>
      </c>
      <c r="Z13" s="10">
        <f t="shared" ref="Z13:Z20" si="1">LN(S13)</f>
        <v>9.2857528350005838E-2</v>
      </c>
      <c r="AA13" s="6">
        <f t="shared" ref="AA13:AA20" si="2">Z13-1.96*Y13</f>
        <v>-0.15411125947506665</v>
      </c>
      <c r="AB13" s="6">
        <f t="shared" ref="AB13:AB20" si="3">Z13+1.96*Y13</f>
        <v>0.33982631617507836</v>
      </c>
      <c r="AC13" s="6">
        <f>EXP(AA13)</f>
        <v>0.85717664668215765</v>
      </c>
      <c r="AD13" s="6">
        <f>EXP(AB13)</f>
        <v>1.4047035950818978</v>
      </c>
      <c r="AE13" s="6">
        <f t="shared" ref="AE13:AE20" si="4">EXP(Z13)</f>
        <v>1.097305389221557</v>
      </c>
      <c r="AF13" t="str">
        <f t="shared" ref="AF13:AF20" si="5">B13</f>
        <v>Amini</v>
      </c>
      <c r="AH13" s="21">
        <f>Z13/Y13</f>
        <v>0.73693828750101897</v>
      </c>
      <c r="AI13" s="20">
        <f>1-NORMSDIST(AH13)</f>
        <v>0.23057993954705169</v>
      </c>
      <c r="AJ13" s="85">
        <f>2*AI13</f>
        <v>0.46115987909410339</v>
      </c>
      <c r="AL13" t="str">
        <f t="shared" ref="AL13:AL20" si="6">B13</f>
        <v>Amini</v>
      </c>
      <c r="AM13" s="27" t="s">
        <v>10</v>
      </c>
      <c r="AN13" s="21">
        <f>AE13</f>
        <v>1.097305389221557</v>
      </c>
      <c r="AO13" s="28">
        <f>Y13</f>
        <v>0.12600448358422067</v>
      </c>
      <c r="AP13" s="2">
        <f t="shared" ref="AP13:AP20" si="7">P13</f>
        <v>6.68</v>
      </c>
      <c r="AQ13" s="2" t="str">
        <f t="shared" ref="AQ13:AQ20" si="8">D13</f>
        <v>po</v>
      </c>
      <c r="AR13" s="2">
        <f t="shared" ref="AR13:AR20" si="9">E13</f>
        <v>3</v>
      </c>
    </row>
    <row r="14" spans="1:46" ht="12.2" customHeight="1" x14ac:dyDescent="0.25">
      <c r="A14" s="1"/>
      <c r="B14" s="26" t="s">
        <v>30</v>
      </c>
      <c r="C14" s="76">
        <f>H14+K14</f>
        <v>185</v>
      </c>
      <c r="D14" s="2" t="s">
        <v>11</v>
      </c>
      <c r="E14" s="97">
        <v>2</v>
      </c>
      <c r="F14">
        <v>1.2</v>
      </c>
      <c r="G14" s="54">
        <v>0.8</v>
      </c>
      <c r="H14" s="3">
        <v>89</v>
      </c>
      <c r="I14">
        <v>1.4</v>
      </c>
      <c r="J14" s="54">
        <v>1</v>
      </c>
      <c r="K14" s="3">
        <v>96</v>
      </c>
      <c r="L14" s="108" t="s">
        <v>28</v>
      </c>
      <c r="M14" s="13">
        <f>F14*24</f>
        <v>28.799999999999997</v>
      </c>
      <c r="N14" s="13">
        <f>G14*24</f>
        <v>19.200000000000003</v>
      </c>
      <c r="O14" s="13"/>
      <c r="P14" s="109">
        <f>I14*24</f>
        <v>33.599999999999994</v>
      </c>
      <c r="Q14" s="13">
        <f>J14*24</f>
        <v>24</v>
      </c>
      <c r="S14" s="51">
        <f>F14/I14</f>
        <v>0.85714285714285721</v>
      </c>
      <c r="U14" s="6"/>
      <c r="V14" s="8"/>
      <c r="W14" s="6"/>
      <c r="X14" s="8"/>
      <c r="Y14" s="9">
        <f>Z14/AH14</f>
        <v>7.1884870520605201E-2</v>
      </c>
      <c r="Z14" s="10">
        <f t="shared" si="1"/>
        <v>-0.15415067982725822</v>
      </c>
      <c r="AA14" s="6">
        <f t="shared" si="2"/>
        <v>-0.29504502604764438</v>
      </c>
      <c r="AB14" s="6">
        <f t="shared" si="3"/>
        <v>-1.3256333606872034E-2</v>
      </c>
      <c r="AC14" s="6">
        <f>EXP(AA14)</f>
        <v>0.74449806490587922</v>
      </c>
      <c r="AD14" s="6">
        <f>EXP(AB14)</f>
        <v>0.98683114461002908</v>
      </c>
      <c r="AE14" s="6">
        <f t="shared" si="4"/>
        <v>0.85714285714285721</v>
      </c>
      <c r="AF14" t="str">
        <f t="shared" si="5"/>
        <v>Bjordahl</v>
      </c>
      <c r="AH14" s="64">
        <f>NORMSINV(AI14)</f>
        <v>-2.1444106209118399</v>
      </c>
      <c r="AI14" s="52">
        <f>AJ14/2</f>
        <v>1.6E-2</v>
      </c>
      <c r="AJ14" s="23">
        <v>3.2000000000000001E-2</v>
      </c>
      <c r="AK14" s="24" t="s">
        <v>103</v>
      </c>
      <c r="AL14" t="str">
        <f t="shared" si="6"/>
        <v>Bjordahl</v>
      </c>
      <c r="AM14" s="27" t="s">
        <v>10</v>
      </c>
      <c r="AN14" s="21">
        <f t="shared" ref="AN14:AN20" si="10">AE14</f>
        <v>0.85714285714285721</v>
      </c>
      <c r="AO14" s="28">
        <f t="shared" ref="AO14:AO20" si="11">Y14</f>
        <v>7.1884870520605201E-2</v>
      </c>
      <c r="AP14" s="2">
        <f t="shared" si="7"/>
        <v>33.599999999999994</v>
      </c>
      <c r="AQ14" s="2" t="str">
        <f t="shared" si="8"/>
        <v>po</v>
      </c>
      <c r="AR14" s="2">
        <f t="shared" si="9"/>
        <v>2</v>
      </c>
    </row>
    <row r="15" spans="1:46" ht="12.2" customHeight="1" x14ac:dyDescent="0.25">
      <c r="A15" s="1"/>
      <c r="B15" s="26" t="s">
        <v>32</v>
      </c>
      <c r="C15" s="76">
        <f>H15+K15</f>
        <v>100</v>
      </c>
      <c r="D15" s="2" t="s">
        <v>11</v>
      </c>
      <c r="E15" s="97">
        <v>1</v>
      </c>
      <c r="F15">
        <v>13.38</v>
      </c>
      <c r="G15">
        <v>2.0099999999999998</v>
      </c>
      <c r="H15" s="3">
        <v>50</v>
      </c>
      <c r="I15">
        <v>15.41</v>
      </c>
      <c r="J15">
        <v>14.35</v>
      </c>
      <c r="K15" s="3">
        <v>50</v>
      </c>
      <c r="L15" s="38" t="s">
        <v>31</v>
      </c>
      <c r="M15" s="13">
        <f t="shared" ref="M15:M20" si="12">F15</f>
        <v>13.38</v>
      </c>
      <c r="N15" s="13">
        <f t="shared" ref="N15:N20" si="13">G15</f>
        <v>2.0099999999999998</v>
      </c>
      <c r="O15" s="13"/>
      <c r="P15" s="109">
        <f t="shared" ref="P15:P20" si="14">I15</f>
        <v>15.41</v>
      </c>
      <c r="Q15" s="13">
        <f t="shared" ref="Q15:Q20" si="15">J15</f>
        <v>14.35</v>
      </c>
      <c r="R15" s="11"/>
      <c r="S15" s="51">
        <f>F15/I15</f>
        <v>0.86826735885788453</v>
      </c>
      <c r="U15" s="6">
        <f t="shared" ref="U15:U20" si="16">(G15/F15)</f>
        <v>0.15022421524663673</v>
      </c>
      <c r="V15" s="8">
        <f t="shared" ref="V15:V20" si="17">U15*U15/H15</f>
        <v>4.513462969293569E-4</v>
      </c>
      <c r="W15" s="6">
        <f t="shared" ref="W15:W20" si="18">(J15/I15)</f>
        <v>0.93121349772874751</v>
      </c>
      <c r="X15" s="8">
        <f t="shared" ref="X15:X20" si="19">W15*W15/K15</f>
        <v>1.7343171567044159E-2</v>
      </c>
      <c r="Y15" s="9">
        <f t="shared" ref="Y15:Y20" si="20">SQRT(V15+X15)</f>
        <v>0.13339609388574133</v>
      </c>
      <c r="Z15" s="10">
        <f t="shared" ref="Z15" si="21">LN(S15)</f>
        <v>-0.14125559463194196</v>
      </c>
      <c r="AA15" s="6">
        <f t="shared" si="2"/>
        <v>-0.40271193864799493</v>
      </c>
      <c r="AB15" s="6">
        <f t="shared" si="3"/>
        <v>0.12020074938411104</v>
      </c>
      <c r="AC15" s="6">
        <f t="shared" ref="AC15" si="22">EXP(AA15)</f>
        <v>0.66850464194116477</v>
      </c>
      <c r="AD15" s="6">
        <f t="shared" ref="AD15" si="23">EXP(AB15)</f>
        <v>1.127723218598677</v>
      </c>
      <c r="AE15" s="6">
        <f t="shared" ref="AE15" si="24">EXP(Z15)</f>
        <v>0.86826735885788453</v>
      </c>
      <c r="AF15" t="str">
        <f t="shared" si="5"/>
        <v>Dehghani</v>
      </c>
      <c r="AH15" s="21">
        <f t="shared" ref="AH15:AH20" si="25">Z15/Y15</f>
        <v>-1.0589185224039062</v>
      </c>
      <c r="AI15" s="4">
        <f t="shared" ref="AI15:AI20" si="26">NORMSDIST(AH15)</f>
        <v>0.1448184439860522</v>
      </c>
      <c r="AJ15" s="85">
        <f>2*AI15</f>
        <v>0.28963688797210441</v>
      </c>
      <c r="AK15" s="86"/>
      <c r="AL15" t="str">
        <f t="shared" si="6"/>
        <v>Dehghani</v>
      </c>
      <c r="AM15" s="27" t="s">
        <v>10</v>
      </c>
      <c r="AN15" s="21">
        <f t="shared" si="10"/>
        <v>0.86826735885788453</v>
      </c>
      <c r="AO15" s="28">
        <f t="shared" si="11"/>
        <v>0.13339609388574133</v>
      </c>
      <c r="AP15" s="2">
        <f t="shared" si="7"/>
        <v>15.41</v>
      </c>
      <c r="AQ15" s="2" t="str">
        <f t="shared" si="8"/>
        <v>po</v>
      </c>
      <c r="AR15" s="2">
        <f t="shared" si="9"/>
        <v>1</v>
      </c>
    </row>
    <row r="16" spans="1:46" ht="12.2" customHeight="1" x14ac:dyDescent="0.25">
      <c r="A16" s="1"/>
      <c r="B16" s="26" t="s">
        <v>33</v>
      </c>
      <c r="C16" s="76"/>
      <c r="D16" s="2" t="s">
        <v>12</v>
      </c>
      <c r="E16" s="2">
        <v>3</v>
      </c>
      <c r="F16" s="63">
        <v>2.04</v>
      </c>
      <c r="G16" s="63">
        <v>0.35</v>
      </c>
      <c r="H16" s="65">
        <v>20</v>
      </c>
      <c r="I16" s="63">
        <v>1.99</v>
      </c>
      <c r="J16" s="63">
        <v>0.31</v>
      </c>
      <c r="K16" s="3">
        <v>20</v>
      </c>
      <c r="L16" s="38" t="s">
        <v>31</v>
      </c>
      <c r="M16" s="13">
        <f t="shared" si="12"/>
        <v>2.04</v>
      </c>
      <c r="N16" s="13">
        <f t="shared" si="13"/>
        <v>0.35</v>
      </c>
      <c r="O16" s="13"/>
      <c r="P16" s="109">
        <f t="shared" si="14"/>
        <v>1.99</v>
      </c>
      <c r="Q16" s="13">
        <f t="shared" si="15"/>
        <v>0.31</v>
      </c>
      <c r="S16" s="51">
        <f t="shared" ref="S16:S20" si="27">F16/I16</f>
        <v>1.0251256281407035</v>
      </c>
      <c r="U16" s="6">
        <f t="shared" si="16"/>
        <v>0.17156862745098037</v>
      </c>
      <c r="V16" s="8">
        <f t="shared" si="17"/>
        <v>1.4717896962706646E-3</v>
      </c>
      <c r="W16" s="6">
        <f t="shared" si="18"/>
        <v>0.15577889447236182</v>
      </c>
      <c r="X16" s="8">
        <f t="shared" si="19"/>
        <v>1.2133531981515619E-3</v>
      </c>
      <c r="Y16" s="9">
        <f t="shared" si="20"/>
        <v>5.1818364451439669E-2</v>
      </c>
      <c r="Z16" s="10">
        <f t="shared" si="1"/>
        <v>2.4815169119723993E-2</v>
      </c>
      <c r="AA16" s="6">
        <f t="shared" si="2"/>
        <v>-7.6748825205097751E-2</v>
      </c>
      <c r="AB16" s="6">
        <f t="shared" si="3"/>
        <v>0.12637916344454575</v>
      </c>
      <c r="AC16" s="6">
        <f t="shared" ref="AC16:AD20" si="28">EXP(AA16)</f>
        <v>0.92612244300965207</v>
      </c>
      <c r="AD16" s="6">
        <f t="shared" si="28"/>
        <v>1.1347123281623352</v>
      </c>
      <c r="AE16" s="6">
        <f t="shared" si="4"/>
        <v>1.0251256281407035</v>
      </c>
      <c r="AF16" t="str">
        <f t="shared" si="5"/>
        <v>Ebade</v>
      </c>
      <c r="AH16" s="21">
        <f t="shared" si="25"/>
        <v>0.47888754078641232</v>
      </c>
      <c r="AI16" s="20">
        <f t="shared" si="26"/>
        <v>0.68399068251077433</v>
      </c>
      <c r="AJ16" s="85">
        <f>2*(1-AI16)</f>
        <v>0.63201863497845134</v>
      </c>
      <c r="AL16" t="str">
        <f t="shared" si="6"/>
        <v>Ebade</v>
      </c>
      <c r="AM16" s="27" t="s">
        <v>10</v>
      </c>
      <c r="AN16" s="21">
        <f t="shared" si="10"/>
        <v>1.0251256281407035</v>
      </c>
      <c r="AO16" s="28">
        <f t="shared" si="11"/>
        <v>5.1818364451439669E-2</v>
      </c>
      <c r="AP16" s="2">
        <f t="shared" si="7"/>
        <v>1.99</v>
      </c>
      <c r="AQ16" s="2" t="str">
        <f t="shared" si="8"/>
        <v>iv</v>
      </c>
      <c r="AR16" s="2">
        <f t="shared" si="9"/>
        <v>3</v>
      </c>
    </row>
    <row r="17" spans="1:44" ht="12.2" customHeight="1" x14ac:dyDescent="0.25">
      <c r="A17" s="1"/>
      <c r="B17" s="26" t="s">
        <v>84</v>
      </c>
      <c r="C17" s="76">
        <f>H17+K17</f>
        <v>100</v>
      </c>
      <c r="D17" s="2" t="s">
        <v>12</v>
      </c>
      <c r="E17" s="97">
        <v>6</v>
      </c>
      <c r="F17" s="107">
        <v>4.5999999999999996</v>
      </c>
      <c r="G17" s="63">
        <v>2.08</v>
      </c>
      <c r="H17" s="65">
        <v>50</v>
      </c>
      <c r="I17" s="63">
        <v>7.87</v>
      </c>
      <c r="J17" s="63">
        <v>3.01</v>
      </c>
      <c r="K17" s="3">
        <v>50</v>
      </c>
      <c r="L17" s="108" t="s">
        <v>28</v>
      </c>
      <c r="M17" s="13">
        <f t="shared" ref="M17:N19" si="29">F17*24</f>
        <v>110.39999999999999</v>
      </c>
      <c r="N17" s="13">
        <f t="shared" si="29"/>
        <v>49.92</v>
      </c>
      <c r="O17" s="13"/>
      <c r="P17" s="109">
        <f t="shared" ref="P17:Q19" si="30">I17*24</f>
        <v>188.88</v>
      </c>
      <c r="Q17" s="13">
        <f t="shared" si="30"/>
        <v>72.239999999999995</v>
      </c>
      <c r="S17" s="51">
        <f t="shared" si="27"/>
        <v>0.58449809402795416</v>
      </c>
      <c r="U17" s="6">
        <f t="shared" si="16"/>
        <v>0.45217391304347831</v>
      </c>
      <c r="V17" s="8">
        <f t="shared" si="17"/>
        <v>4.0892249527410222E-3</v>
      </c>
      <c r="W17" s="6">
        <f t="shared" si="18"/>
        <v>0.38246505717916135</v>
      </c>
      <c r="X17" s="8">
        <f t="shared" si="19"/>
        <v>2.9255903992611832E-3</v>
      </c>
      <c r="Y17" s="9">
        <f t="shared" si="20"/>
        <v>8.3754494518217981E-2</v>
      </c>
      <c r="Z17" s="10">
        <f t="shared" ref="Z17" si="31">LN(S17)</f>
        <v>-0.53700175893426272</v>
      </c>
      <c r="AA17" s="6">
        <f t="shared" si="2"/>
        <v>-0.70116056818996997</v>
      </c>
      <c r="AB17" s="6">
        <f t="shared" si="3"/>
        <v>-0.37284294967855547</v>
      </c>
      <c r="AC17" s="6">
        <f t="shared" ref="AC17" si="32">EXP(AA17)</f>
        <v>0.49600931698485601</v>
      </c>
      <c r="AD17" s="6">
        <f t="shared" ref="AD17" si="33">EXP(AB17)</f>
        <v>0.68877339643348257</v>
      </c>
      <c r="AE17" s="6">
        <f t="shared" si="4"/>
        <v>0.58449809402795416</v>
      </c>
      <c r="AF17" t="str">
        <f t="shared" si="5"/>
        <v>Habib</v>
      </c>
      <c r="AH17" s="21">
        <f t="shared" si="25"/>
        <v>-6.4116172155687234</v>
      </c>
      <c r="AI17" s="4">
        <f t="shared" si="26"/>
        <v>7.1991995151063274E-11</v>
      </c>
      <c r="AJ17" s="4">
        <f>2*AI17</f>
        <v>1.4398399030212655E-10</v>
      </c>
      <c r="AL17" t="str">
        <f t="shared" si="6"/>
        <v>Habib</v>
      </c>
      <c r="AM17" s="27" t="s">
        <v>69</v>
      </c>
      <c r="AN17" s="21">
        <f t="shared" si="10"/>
        <v>0.58449809402795416</v>
      </c>
      <c r="AO17" s="28">
        <f t="shared" si="11"/>
        <v>8.3754494518217981E-2</v>
      </c>
      <c r="AP17" s="2">
        <f t="shared" si="7"/>
        <v>188.88</v>
      </c>
      <c r="AQ17" s="2" t="str">
        <f t="shared" si="8"/>
        <v>iv</v>
      </c>
      <c r="AR17" s="2">
        <f t="shared" si="9"/>
        <v>6</v>
      </c>
    </row>
    <row r="18" spans="1:44" ht="12.2" customHeight="1" x14ac:dyDescent="0.25">
      <c r="B18" s="26" t="s">
        <v>160</v>
      </c>
      <c r="C18" s="2">
        <v>58</v>
      </c>
      <c r="D18" s="2" t="s">
        <v>12</v>
      </c>
      <c r="E18" s="2">
        <v>2</v>
      </c>
      <c r="F18">
        <v>15.1</v>
      </c>
      <c r="G18">
        <f>G31*SQRT(H31)</f>
        <v>5.3851648071345037</v>
      </c>
      <c r="H18" s="3">
        <v>29</v>
      </c>
      <c r="I18">
        <v>22.9</v>
      </c>
      <c r="J18">
        <f>J31*SQRT(K31)</f>
        <v>20.463626267111113</v>
      </c>
      <c r="K18" s="3">
        <v>29</v>
      </c>
      <c r="L18" s="89" t="s">
        <v>31</v>
      </c>
      <c r="M18" s="13">
        <f t="shared" ref="M18" si="34">F18</f>
        <v>15.1</v>
      </c>
      <c r="N18" s="13">
        <f t="shared" si="13"/>
        <v>5.3851648071345037</v>
      </c>
      <c r="P18" s="109">
        <f t="shared" si="14"/>
        <v>22.9</v>
      </c>
      <c r="Q18" s="13">
        <f t="shared" si="15"/>
        <v>20.463626267111113</v>
      </c>
      <c r="S18" s="51">
        <f t="shared" ref="S18" si="35">F18/I18</f>
        <v>0.65938864628820959</v>
      </c>
      <c r="U18" s="6">
        <f t="shared" si="16"/>
        <v>0.35663343093605987</v>
      </c>
      <c r="V18" s="8">
        <f t="shared" si="17"/>
        <v>4.3857725538353582E-3</v>
      </c>
      <c r="W18" s="6">
        <f t="shared" si="18"/>
        <v>0.89360813393498317</v>
      </c>
      <c r="X18" s="8">
        <f t="shared" si="19"/>
        <v>2.7535706794302166E-2</v>
      </c>
      <c r="Y18" s="9">
        <f t="shared" si="20"/>
        <v>0.17866583150713938</v>
      </c>
      <c r="Z18" s="10">
        <f t="shared" ref="Z18" si="36">LN(S18)</f>
        <v>-0.41644216673931533</v>
      </c>
      <c r="AA18" s="6">
        <f t="shared" ref="AA18" si="37">Z18-1.96*Y18</f>
        <v>-0.76662719649330846</v>
      </c>
      <c r="AB18" s="6">
        <f t="shared" ref="AB18" si="38">Z18+1.96*Y18</f>
        <v>-6.6257136985322151E-2</v>
      </c>
      <c r="AC18" s="6">
        <f t="shared" ref="AC18" si="39">EXP(AA18)</f>
        <v>0.46457735694785202</v>
      </c>
      <c r="AD18" s="6">
        <f t="shared" ref="AD18" si="40">EXP(AB18)</f>
        <v>0.93589018136887459</v>
      </c>
      <c r="AE18" s="6">
        <f t="shared" ref="AE18" si="41">EXP(Z18)</f>
        <v>0.65938864628820959</v>
      </c>
      <c r="AF18" t="str">
        <f t="shared" si="5"/>
        <v>Safaei</v>
      </c>
      <c r="AH18" s="21">
        <f t="shared" si="25"/>
        <v>-2.3308439180922771</v>
      </c>
      <c r="AI18" s="4">
        <f t="shared" si="26"/>
        <v>9.8807956845459056E-3</v>
      </c>
      <c r="AJ18" s="20">
        <f>2*AI18</f>
        <v>1.9761591369091811E-2</v>
      </c>
      <c r="AK18" t="s">
        <v>171</v>
      </c>
      <c r="AL18" t="str">
        <f t="shared" si="6"/>
        <v>Safaei</v>
      </c>
      <c r="AM18" s="27" t="s">
        <v>10</v>
      </c>
      <c r="AN18" s="21">
        <f t="shared" ref="AN18" si="42">AE18</f>
        <v>0.65938864628820959</v>
      </c>
      <c r="AO18" s="28">
        <f t="shared" ref="AO18" si="43">Y18</f>
        <v>0.17866583150713938</v>
      </c>
      <c r="AP18" s="2">
        <f t="shared" ref="AP18" si="44">P18</f>
        <v>22.9</v>
      </c>
      <c r="AQ18" s="2" t="str">
        <f t="shared" ref="AQ18" si="45">D18</f>
        <v>iv</v>
      </c>
      <c r="AR18" s="2">
        <f t="shared" si="9"/>
        <v>2</v>
      </c>
    </row>
    <row r="19" spans="1:44" ht="12.2" customHeight="1" x14ac:dyDescent="0.25">
      <c r="A19" s="1"/>
      <c r="B19" s="26" t="s">
        <v>68</v>
      </c>
      <c r="C19" s="76"/>
      <c r="D19" s="2" t="s">
        <v>12</v>
      </c>
      <c r="E19" s="2">
        <v>90</v>
      </c>
      <c r="F19">
        <v>12.1</v>
      </c>
      <c r="G19">
        <v>8.8000000000000007</v>
      </c>
      <c r="H19" s="26">
        <v>19</v>
      </c>
      <c r="I19">
        <v>21.3</v>
      </c>
      <c r="J19">
        <v>15.6</v>
      </c>
      <c r="K19" s="26">
        <v>18</v>
      </c>
      <c r="L19" s="108" t="s">
        <v>28</v>
      </c>
      <c r="M19" s="13">
        <f t="shared" si="29"/>
        <v>290.39999999999998</v>
      </c>
      <c r="N19" s="13">
        <f t="shared" si="29"/>
        <v>211.20000000000002</v>
      </c>
      <c r="O19" s="13"/>
      <c r="P19" s="109">
        <f t="shared" si="30"/>
        <v>511.20000000000005</v>
      </c>
      <c r="Q19" s="13">
        <f t="shared" si="30"/>
        <v>374.4</v>
      </c>
      <c r="S19" s="51">
        <f t="shared" si="27"/>
        <v>0.568075117370892</v>
      </c>
      <c r="U19" s="6">
        <f t="shared" si="16"/>
        <v>0.7272727272727274</v>
      </c>
      <c r="V19" s="8">
        <f t="shared" si="17"/>
        <v>2.7838190517616369E-2</v>
      </c>
      <c r="W19" s="6">
        <f t="shared" si="18"/>
        <v>0.73239436619718301</v>
      </c>
      <c r="X19" s="8">
        <f t="shared" si="19"/>
        <v>2.9800083757631855E-2</v>
      </c>
      <c r="Y19" s="9">
        <f t="shared" si="20"/>
        <v>0.24007972483166551</v>
      </c>
      <c r="Z19" s="10">
        <f t="shared" si="1"/>
        <v>-0.56550162011268401</v>
      </c>
      <c r="AA19" s="6">
        <f t="shared" si="2"/>
        <v>-1.0360578807827485</v>
      </c>
      <c r="AB19" s="6">
        <f t="shared" si="3"/>
        <v>-9.4945359442619615E-2</v>
      </c>
      <c r="AC19" s="6">
        <f t="shared" si="28"/>
        <v>0.35485079246198142</v>
      </c>
      <c r="AD19" s="6">
        <f t="shared" si="28"/>
        <v>0.90942262446976974</v>
      </c>
      <c r="AE19" s="6">
        <f t="shared" si="4"/>
        <v>0.568075117370892</v>
      </c>
      <c r="AF19" t="str">
        <f t="shared" si="5"/>
        <v>Tanaka</v>
      </c>
      <c r="AH19" s="21">
        <f t="shared" si="25"/>
        <v>-2.3554742930049239</v>
      </c>
      <c r="AI19" s="20">
        <f t="shared" si="26"/>
        <v>9.2495384878032768E-3</v>
      </c>
      <c r="AJ19" s="20">
        <f>2*AI19</f>
        <v>1.8499076975606554E-2</v>
      </c>
      <c r="AL19" t="str">
        <f t="shared" si="6"/>
        <v>Tanaka</v>
      </c>
      <c r="AM19" s="27" t="s">
        <v>69</v>
      </c>
      <c r="AN19" s="21">
        <f t="shared" si="10"/>
        <v>0.568075117370892</v>
      </c>
      <c r="AO19" s="28">
        <f t="shared" si="11"/>
        <v>0.24007972483166551</v>
      </c>
      <c r="AP19" s="2">
        <f t="shared" si="7"/>
        <v>511.20000000000005</v>
      </c>
      <c r="AQ19" s="2" t="str">
        <f t="shared" si="8"/>
        <v>iv</v>
      </c>
      <c r="AR19" s="2">
        <f t="shared" si="9"/>
        <v>90</v>
      </c>
    </row>
    <row r="20" spans="1:44" ht="12.2" customHeight="1" x14ac:dyDescent="0.25">
      <c r="A20" s="1"/>
      <c r="B20" s="26" t="s">
        <v>34</v>
      </c>
      <c r="C20" s="76">
        <f>H20+K20</f>
        <v>28</v>
      </c>
      <c r="D20" s="2" t="s">
        <v>12</v>
      </c>
      <c r="E20" s="97">
        <v>6</v>
      </c>
      <c r="F20">
        <v>36.630000000000003</v>
      </c>
      <c r="G20">
        <v>16.11</v>
      </c>
      <c r="H20" s="26">
        <v>14</v>
      </c>
      <c r="I20">
        <v>46.78</v>
      </c>
      <c r="J20">
        <v>10.11</v>
      </c>
      <c r="K20" s="26">
        <v>14</v>
      </c>
      <c r="L20" s="38" t="s">
        <v>31</v>
      </c>
      <c r="M20" s="13">
        <f t="shared" si="12"/>
        <v>36.630000000000003</v>
      </c>
      <c r="N20" s="13">
        <f t="shared" si="13"/>
        <v>16.11</v>
      </c>
      <c r="O20" s="13"/>
      <c r="P20" s="109">
        <f t="shared" si="14"/>
        <v>46.78</v>
      </c>
      <c r="Q20" s="13">
        <f t="shared" si="15"/>
        <v>10.11</v>
      </c>
      <c r="S20" s="51">
        <f t="shared" si="27"/>
        <v>0.78302693458743056</v>
      </c>
      <c r="U20" s="6">
        <f t="shared" si="16"/>
        <v>0.43980343980343978</v>
      </c>
      <c r="V20" s="8">
        <f t="shared" si="17"/>
        <v>1.3816218975924135E-2</v>
      </c>
      <c r="W20" s="6">
        <f t="shared" si="18"/>
        <v>0.21611799914493371</v>
      </c>
      <c r="X20" s="8">
        <f t="shared" si="19"/>
        <v>3.3362135396006833E-3</v>
      </c>
      <c r="Y20" s="9">
        <f t="shared" si="20"/>
        <v>0.13096729559521653</v>
      </c>
      <c r="Z20" s="10">
        <f t="shared" si="1"/>
        <v>-0.24458818436530994</v>
      </c>
      <c r="AA20" s="6">
        <f t="shared" si="2"/>
        <v>-0.50128408373193434</v>
      </c>
      <c r="AB20" s="6">
        <f t="shared" si="3"/>
        <v>1.2107715001314467E-2</v>
      </c>
      <c r="AC20" s="6">
        <f t="shared" si="28"/>
        <v>0.60575232339102936</v>
      </c>
      <c r="AD20" s="6">
        <f t="shared" si="28"/>
        <v>1.0121813101055093</v>
      </c>
      <c r="AE20" s="6">
        <f t="shared" si="4"/>
        <v>0.78302693458743056</v>
      </c>
      <c r="AF20" t="str">
        <f t="shared" si="5"/>
        <v>Zabet</v>
      </c>
      <c r="AH20" s="21">
        <f t="shared" si="25"/>
        <v>-1.8675516147272673</v>
      </c>
      <c r="AI20" s="20">
        <f t="shared" si="26"/>
        <v>3.0912298020760461E-2</v>
      </c>
      <c r="AJ20" s="20">
        <f>2*AI20</f>
        <v>6.1824596041520921E-2</v>
      </c>
      <c r="AK20" s="31"/>
      <c r="AL20" t="str">
        <f t="shared" si="6"/>
        <v>Zabet</v>
      </c>
      <c r="AM20" s="27" t="s">
        <v>69</v>
      </c>
      <c r="AN20" s="21">
        <f t="shared" si="10"/>
        <v>0.78302693458743056</v>
      </c>
      <c r="AO20" s="28">
        <f t="shared" si="11"/>
        <v>0.13096729559521653</v>
      </c>
      <c r="AP20" s="2">
        <f t="shared" si="7"/>
        <v>46.78</v>
      </c>
      <c r="AQ20" s="2" t="str">
        <f t="shared" si="8"/>
        <v>iv</v>
      </c>
      <c r="AR20" s="2">
        <f t="shared" si="9"/>
        <v>6</v>
      </c>
    </row>
    <row r="21" spans="1:44" ht="12.2" customHeight="1" x14ac:dyDescent="0.25">
      <c r="A21" s="1"/>
      <c r="L21" s="89"/>
      <c r="M21" s="1"/>
      <c r="N21" s="1"/>
      <c r="O21" s="1"/>
      <c r="P21" s="1"/>
      <c r="Q21" s="12"/>
      <c r="AH21" s="2"/>
      <c r="AI21" s="20"/>
      <c r="AM21" s="28"/>
    </row>
    <row r="22" spans="1:44" ht="12.2" customHeight="1" x14ac:dyDescent="0.25">
      <c r="A22" s="1"/>
      <c r="B22" s="2">
        <f>COUNTA(B13:B20)</f>
        <v>8</v>
      </c>
      <c r="C22" s="88">
        <f>SUM(C11:C20)</f>
        <v>471</v>
      </c>
      <c r="D22" s="2" t="s">
        <v>121</v>
      </c>
      <c r="H22" s="3">
        <f>SUM(H11:H20)</f>
        <v>338</v>
      </c>
      <c r="K22" s="3">
        <f>SUM(K11:K20)</f>
        <v>347</v>
      </c>
      <c r="AH22" s="2">
        <v>0</v>
      </c>
      <c r="AI22" s="20">
        <f>1-NORMSDIST(AH22)</f>
        <v>0.5</v>
      </c>
      <c r="AJ22" s="4">
        <f>2*AI22</f>
        <v>1</v>
      </c>
      <c r="AM22" s="28"/>
    </row>
    <row r="23" spans="1:44" ht="12.2" customHeight="1" x14ac:dyDescent="0.25">
      <c r="A23" s="1"/>
      <c r="K23" s="26"/>
      <c r="L23" s="76"/>
      <c r="M23" s="26"/>
      <c r="N23" s="26"/>
      <c r="O23" s="26"/>
      <c r="P23" s="26"/>
      <c r="AH23" s="2"/>
      <c r="AM23" s="28"/>
    </row>
    <row r="24" spans="1:44" ht="12.2" customHeight="1" x14ac:dyDescent="0.25">
      <c r="A24" s="32"/>
      <c r="B24" s="30"/>
      <c r="C24" s="90"/>
      <c r="D24" s="90"/>
      <c r="E24" s="90"/>
      <c r="F24" s="31"/>
      <c r="G24" s="31" t="s">
        <v>35</v>
      </c>
      <c r="H24" s="30">
        <f>H22+K22</f>
        <v>685</v>
      </c>
      <c r="I24" s="31"/>
      <c r="J24" s="31"/>
      <c r="K24" s="30"/>
      <c r="L24" s="90"/>
      <c r="M24" s="30"/>
      <c r="N24" s="30"/>
      <c r="O24" s="30"/>
      <c r="P24" s="30"/>
      <c r="S24" s="2"/>
      <c r="T24" s="2"/>
      <c r="U24" s="2"/>
      <c r="AH24" s="53">
        <f>NORMSINV(AI24)</f>
        <v>-1.9599639845400538</v>
      </c>
      <c r="AI24" s="36">
        <f>AJ24/2</f>
        <v>2.5000000000000001E-2</v>
      </c>
      <c r="AJ24" s="23">
        <v>0.05</v>
      </c>
      <c r="AM24" s="28"/>
    </row>
    <row r="25" spans="1:44" ht="12.2" customHeight="1" x14ac:dyDescent="0.25">
      <c r="A25" s="32"/>
      <c r="B25" s="30"/>
      <c r="C25" s="90"/>
      <c r="D25" s="90"/>
      <c r="E25" s="90"/>
      <c r="F25" s="31"/>
      <c r="G25" s="31"/>
      <c r="H25" s="30"/>
      <c r="I25" s="31"/>
      <c r="J25" s="31"/>
      <c r="K25" s="30"/>
      <c r="L25" s="90"/>
      <c r="M25" s="30"/>
      <c r="N25" s="30"/>
      <c r="O25" s="30"/>
      <c r="P25" s="30"/>
      <c r="S25" s="2"/>
      <c r="T25" s="2"/>
      <c r="U25" s="2"/>
      <c r="AH25" s="53"/>
      <c r="AI25" s="36"/>
      <c r="AJ25" s="36"/>
      <c r="AM25" s="28"/>
    </row>
    <row r="26" spans="1:44" ht="12.2" customHeight="1" x14ac:dyDescent="0.25">
      <c r="A26" s="32"/>
      <c r="B26" s="30"/>
      <c r="C26" s="90"/>
      <c r="D26" s="90"/>
      <c r="E26" s="90"/>
      <c r="F26" s="31"/>
      <c r="G26" s="31"/>
      <c r="H26" s="30"/>
      <c r="I26" s="31"/>
      <c r="J26" s="31"/>
      <c r="K26" s="30"/>
      <c r="L26" s="90"/>
      <c r="M26" s="30"/>
      <c r="N26" s="30"/>
      <c r="O26" s="30"/>
      <c r="P26" s="30"/>
      <c r="S26" s="2"/>
      <c r="T26" s="2"/>
      <c r="U26" s="2"/>
      <c r="AH26" s="53"/>
      <c r="AI26" s="36"/>
      <c r="AJ26" s="36"/>
      <c r="AM26" s="28"/>
    </row>
    <row r="27" spans="1:44" ht="12.2" customHeight="1" x14ac:dyDescent="0.25">
      <c r="A27" s="1"/>
      <c r="B27" s="26" t="s">
        <v>134</v>
      </c>
      <c r="C27" s="76"/>
      <c r="D27" s="2" t="s">
        <v>11</v>
      </c>
      <c r="E27" s="97"/>
      <c r="F27" s="107">
        <v>11.83</v>
      </c>
      <c r="G27" s="63">
        <v>3.91</v>
      </c>
      <c r="H27" s="65">
        <v>113</v>
      </c>
      <c r="I27" s="63">
        <v>14.14</v>
      </c>
      <c r="J27" s="63">
        <v>9.52</v>
      </c>
      <c r="K27" s="3">
        <v>177</v>
      </c>
      <c r="L27" s="113" t="s">
        <v>31</v>
      </c>
      <c r="M27" s="13">
        <f t="shared" ref="M27" si="46">F27</f>
        <v>11.83</v>
      </c>
      <c r="N27" s="13">
        <f t="shared" ref="N27" si="47">G27</f>
        <v>3.91</v>
      </c>
      <c r="O27" s="13"/>
      <c r="P27" s="109">
        <f t="shared" ref="P27:Q27" si="48">I27</f>
        <v>14.14</v>
      </c>
      <c r="Q27" s="13">
        <f t="shared" si="48"/>
        <v>9.52</v>
      </c>
      <c r="S27" s="51">
        <f t="shared" ref="S27" si="49">F27/I27</f>
        <v>0.8366336633663366</v>
      </c>
      <c r="U27" s="6">
        <f>(G27/F27)</f>
        <v>0.33051563820794588</v>
      </c>
      <c r="V27" s="8">
        <f>U27*U27/H27</f>
        <v>9.6673085929208655E-4</v>
      </c>
      <c r="W27" s="6">
        <f>(J27/I27)</f>
        <v>0.6732673267326732</v>
      </c>
      <c r="X27" s="8">
        <f>W27*W27/K27</f>
        <v>2.560954199128588E-3</v>
      </c>
      <c r="Y27" s="9">
        <f>SQRT(V27+X27)</f>
        <v>5.9394318401852837E-2</v>
      </c>
      <c r="Z27" s="10">
        <f t="shared" ref="Z27" si="50">LN(S27)</f>
        <v>-0.17836898247813132</v>
      </c>
      <c r="AA27" s="6">
        <f t="shared" ref="AA27" si="51">Z27-1.96*Y27</f>
        <v>-0.29478184654576289</v>
      </c>
      <c r="AB27" s="6">
        <f t="shared" ref="AB27" si="52">Z27+1.96*Y27</f>
        <v>-6.1956118410499764E-2</v>
      </c>
      <c r="AC27" s="6">
        <f t="shared" ref="AC27" si="53">EXP(AA27)</f>
        <v>0.74469402732126722</v>
      </c>
      <c r="AD27" s="6">
        <f t="shared" ref="AD27" si="54">EXP(AB27)</f>
        <v>0.93992413125103502</v>
      </c>
      <c r="AE27" s="6">
        <f t="shared" ref="AE27" si="55">EXP(Z27)</f>
        <v>0.8366336633663366</v>
      </c>
      <c r="AF27" t="str">
        <f t="shared" ref="AF27" si="56">B27</f>
        <v>Sadeghpour</v>
      </c>
      <c r="AH27" s="21">
        <f>Z27/Y27</f>
        <v>-3.0031320718475829</v>
      </c>
      <c r="AI27" s="4">
        <f>NORMSDIST(AH27)</f>
        <v>1.3360821965585775E-3</v>
      </c>
      <c r="AJ27" s="4">
        <f>2*AI27</f>
        <v>2.672164393117155E-3</v>
      </c>
      <c r="AL27" t="str">
        <f t="shared" ref="AL27" si="57">B27</f>
        <v>Sadeghpour</v>
      </c>
      <c r="AM27" s="27" t="s">
        <v>69</v>
      </c>
      <c r="AN27" s="21">
        <f t="shared" ref="AN27" si="58">AE27</f>
        <v>0.8366336633663366</v>
      </c>
      <c r="AO27" s="28">
        <f t="shared" ref="AO27" si="59">Y27</f>
        <v>5.9394318401852837E-2</v>
      </c>
      <c r="AP27" s="2">
        <f t="shared" ref="AP27" si="60">P27</f>
        <v>14.14</v>
      </c>
      <c r="AQ27" s="2" t="str">
        <f t="shared" ref="AQ27" si="61">D27</f>
        <v>po</v>
      </c>
      <c r="AR27" s="2">
        <f t="shared" ref="AR27" si="62">E27</f>
        <v>0</v>
      </c>
    </row>
    <row r="28" spans="1:44" ht="12.2" customHeight="1" x14ac:dyDescent="0.25">
      <c r="A28" s="32"/>
      <c r="B28" s="30"/>
      <c r="C28" s="90"/>
      <c r="D28" s="90"/>
      <c r="E28" s="90"/>
      <c r="F28" s="31"/>
      <c r="G28" s="31"/>
      <c r="H28" s="30"/>
      <c r="I28" s="31"/>
      <c r="J28" s="31"/>
      <c r="K28" s="30"/>
      <c r="L28" s="90"/>
      <c r="M28" s="30"/>
      <c r="N28" s="30"/>
      <c r="O28" s="30"/>
      <c r="P28" s="30"/>
      <c r="S28" s="2"/>
      <c r="T28" s="2"/>
      <c r="U28" s="2"/>
      <c r="AH28" s="53"/>
      <c r="AI28" s="36"/>
      <c r="AJ28" s="36"/>
      <c r="AM28" s="28"/>
    </row>
    <row r="29" spans="1:44" ht="12.2" customHeight="1" x14ac:dyDescent="0.25">
      <c r="A29" s="32"/>
      <c r="B29" s="30"/>
      <c r="C29" s="90"/>
      <c r="D29" s="90"/>
      <c r="E29" s="90"/>
      <c r="F29" s="31"/>
      <c r="G29" s="31"/>
      <c r="H29" s="30"/>
      <c r="I29" s="31"/>
      <c r="J29" s="31"/>
      <c r="K29" s="30"/>
      <c r="L29" s="90"/>
      <c r="M29" s="30"/>
      <c r="N29" s="30"/>
      <c r="O29" s="30"/>
      <c r="P29" s="30"/>
      <c r="S29" s="2"/>
      <c r="T29" s="2"/>
      <c r="U29" s="2"/>
      <c r="AH29" s="53"/>
      <c r="AI29" s="36"/>
      <c r="AJ29" s="36"/>
      <c r="AM29" s="28"/>
    </row>
    <row r="30" spans="1:44" ht="12.2" customHeight="1" x14ac:dyDescent="0.25">
      <c r="A30" s="32"/>
      <c r="B30" s="30"/>
      <c r="C30" s="90"/>
      <c r="D30" s="90"/>
      <c r="E30" s="90"/>
      <c r="F30" s="31"/>
      <c r="G30" s="31" t="s">
        <v>170</v>
      </c>
      <c r="H30" s="30"/>
      <c r="I30" s="31"/>
      <c r="J30" s="31" t="s">
        <v>170</v>
      </c>
      <c r="K30" s="30"/>
      <c r="L30" s="90"/>
      <c r="M30" s="30"/>
      <c r="N30" s="30"/>
      <c r="O30" s="30"/>
      <c r="P30" s="30"/>
      <c r="S30" s="2"/>
      <c r="T30" s="2"/>
      <c r="U30" s="2"/>
      <c r="AH30" s="53"/>
      <c r="AI30" s="36"/>
      <c r="AJ30" s="36"/>
      <c r="AM30" s="28"/>
    </row>
    <row r="31" spans="1:44" ht="12.2" customHeight="1" x14ac:dyDescent="0.25">
      <c r="A31" s="32"/>
      <c r="B31" s="26" t="s">
        <v>160</v>
      </c>
      <c r="C31" s="2">
        <v>58</v>
      </c>
      <c r="E31" s="2">
        <v>2</v>
      </c>
      <c r="G31">
        <v>1</v>
      </c>
      <c r="H31" s="3">
        <v>29</v>
      </c>
      <c r="J31">
        <v>3.8</v>
      </c>
      <c r="K31" s="3">
        <v>29</v>
      </c>
      <c r="L31" s="90"/>
      <c r="M31" s="30"/>
      <c r="N31" s="30"/>
      <c r="O31" s="30"/>
      <c r="P31" s="30"/>
      <c r="Q31" s="37"/>
      <c r="R31" s="37"/>
      <c r="S31" s="2"/>
      <c r="T31" s="2"/>
      <c r="U31" s="2"/>
      <c r="AH31" s="2"/>
      <c r="AM31" s="28"/>
    </row>
    <row r="32" spans="1:44" ht="23.25" customHeight="1" x14ac:dyDescent="0.25">
      <c r="B32" s="136" t="s">
        <v>130</v>
      </c>
      <c r="C32" s="113"/>
      <c r="D32" s="113"/>
      <c r="E32" s="113"/>
      <c r="F32" s="31"/>
      <c r="G32" s="31"/>
      <c r="H32" s="30"/>
    </row>
    <row r="34" spans="1:50" ht="12.2" customHeight="1" x14ac:dyDescent="0.25">
      <c r="A34" s="1"/>
      <c r="B34" t="s">
        <v>30</v>
      </c>
      <c r="F34" s="25">
        <v>1.2</v>
      </c>
      <c r="G34" s="54">
        <v>0.8</v>
      </c>
      <c r="H34" s="3">
        <v>89</v>
      </c>
      <c r="I34" s="25">
        <v>1.4</v>
      </c>
      <c r="J34" s="54">
        <v>1</v>
      </c>
      <c r="K34" s="3">
        <v>96</v>
      </c>
      <c r="S34" s="51">
        <f>F34/I34</f>
        <v>0.85714285714285721</v>
      </c>
      <c r="U34" s="6">
        <f>(G34/F34)</f>
        <v>0.66666666666666674</v>
      </c>
      <c r="V34" s="8">
        <f>U34*U34/H34</f>
        <v>4.9937578027465677E-3</v>
      </c>
      <c r="W34" s="6">
        <f>(J34/I34)</f>
        <v>0.7142857142857143</v>
      </c>
      <c r="X34" s="8">
        <f>W34*W34/K34</f>
        <v>5.3146258503401359E-3</v>
      </c>
      <c r="Y34" s="9">
        <f>SQRT(V34+X34)</f>
        <v>0.10153021054389035</v>
      </c>
      <c r="Z34" s="10">
        <f>LN(S34)</f>
        <v>-0.15415067982725822</v>
      </c>
      <c r="AA34" s="6">
        <f>Z34-1.96*Y34</f>
        <v>-0.35314989249328332</v>
      </c>
      <c r="AB34" s="6">
        <f>Z34+1.96*Y34</f>
        <v>4.4848532838766858E-2</v>
      </c>
      <c r="AC34" s="6">
        <f>EXP(AA34)</f>
        <v>0.70247189022227563</v>
      </c>
      <c r="AD34" s="6">
        <f>EXP(AB34)</f>
        <v>1.0458694330367431</v>
      </c>
      <c r="AE34" s="6">
        <f>EXP(Z34)</f>
        <v>0.85714285714285721</v>
      </c>
      <c r="AF34" t="str">
        <f>B34</f>
        <v>Bjordahl</v>
      </c>
      <c r="AH34" s="21">
        <f>Z34/Y34</f>
        <v>-1.5182740092971703</v>
      </c>
      <c r="AI34" s="20">
        <f>NORMSDIST(AH34)</f>
        <v>6.4472668468734576E-2</v>
      </c>
      <c r="AJ34" s="85">
        <f>2*AI34</f>
        <v>0.12894533693746915</v>
      </c>
      <c r="AK34" s="31"/>
    </row>
    <row r="35" spans="1:50" ht="12.2" customHeight="1" x14ac:dyDescent="0.25">
      <c r="A35" s="1"/>
      <c r="B35" t="s">
        <v>30</v>
      </c>
      <c r="F35" s="92">
        <v>1.1599999999999999</v>
      </c>
      <c r="G35" s="93">
        <v>0.77</v>
      </c>
      <c r="H35" s="3">
        <v>89</v>
      </c>
      <c r="I35" s="93">
        <v>1.44</v>
      </c>
      <c r="J35" s="93">
        <v>0.97</v>
      </c>
      <c r="K35" s="3">
        <v>96</v>
      </c>
      <c r="S35" s="51">
        <f>F35/I35</f>
        <v>0.80555555555555558</v>
      </c>
      <c r="U35" s="6">
        <f>(G35/F35)</f>
        <v>0.66379310344827591</v>
      </c>
      <c r="V35" s="8">
        <f>U35*U35/H35</f>
        <v>4.9508009459044216E-3</v>
      </c>
      <c r="W35" s="6">
        <f>(J35/I35)</f>
        <v>0.67361111111111116</v>
      </c>
      <c r="X35" s="8">
        <f>W35*W35/K35</f>
        <v>4.7265825938786017E-3</v>
      </c>
      <c r="Y35" s="9">
        <f>SQRT(V35+X35)</f>
        <v>9.8373693332023587E-2</v>
      </c>
      <c r="Z35" s="10">
        <f>LN(S35)</f>
        <v>-0.21622310846963594</v>
      </c>
      <c r="AA35" s="6">
        <f>Z35-1.96*Y35</f>
        <v>-0.40903554740040216</v>
      </c>
      <c r="AB35" s="6">
        <f>Z35+1.96*Y35</f>
        <v>-2.3410669538869722E-2</v>
      </c>
      <c r="AC35" s="6">
        <f>EXP(AA35)</f>
        <v>0.66429061809792223</v>
      </c>
      <c r="AD35" s="6">
        <f>EXP(AB35)</f>
        <v>0.97686123423583171</v>
      </c>
      <c r="AE35" s="6">
        <f>EXP(Z35)</f>
        <v>0.80555555555555558</v>
      </c>
      <c r="AF35" t="str">
        <f>B35</f>
        <v>Bjordahl</v>
      </c>
      <c r="AH35" s="21">
        <f>Z35/Y35</f>
        <v>-2.197976930070682</v>
      </c>
      <c r="AI35" s="20">
        <f>NORMSDIST(AH35)</f>
        <v>1.3975374993549646E-2</v>
      </c>
      <c r="AJ35" s="20">
        <f>2*AI35</f>
        <v>2.7950749987099292E-2</v>
      </c>
      <c r="AK35" s="31"/>
    </row>
    <row r="36" spans="1:50" ht="12.2" customHeight="1" x14ac:dyDescent="0.25">
      <c r="A36" s="1"/>
      <c r="F36" s="92"/>
      <c r="G36" s="93"/>
      <c r="I36" s="93"/>
      <c r="J36" s="93"/>
      <c r="S36" s="51"/>
      <c r="U36" s="6"/>
      <c r="V36" s="8"/>
      <c r="W36" s="6"/>
      <c r="X36" s="8"/>
      <c r="AA36" s="6"/>
      <c r="AB36" s="6"/>
      <c r="AC36" s="6"/>
      <c r="AD36" s="6"/>
      <c r="AE36" s="6"/>
      <c r="AH36" s="21"/>
      <c r="AI36" s="20"/>
      <c r="AJ36" s="20"/>
      <c r="AK36" s="31"/>
    </row>
    <row r="37" spans="1:50" ht="12.2" customHeight="1" x14ac:dyDescent="0.25">
      <c r="F37" t="s">
        <v>102</v>
      </c>
    </row>
    <row r="38" spans="1:50" ht="12.2" customHeight="1" x14ac:dyDescent="0.25">
      <c r="F38" t="s">
        <v>135</v>
      </c>
    </row>
    <row r="41" spans="1:50" ht="12.2" customHeight="1" x14ac:dyDescent="0.25">
      <c r="X41" s="31"/>
      <c r="Y41" s="31"/>
      <c r="Z41" s="31"/>
      <c r="AA41" s="31"/>
      <c r="AI41" s="133"/>
      <c r="AJ41" s="133"/>
      <c r="AK41" s="31"/>
    </row>
    <row r="42" spans="1:50" ht="12.2" customHeight="1" x14ac:dyDescent="0.25">
      <c r="F42" s="11" t="s">
        <v>156</v>
      </c>
      <c r="G42" s="11"/>
      <c r="H42" s="11"/>
      <c r="I42" s="78" t="s">
        <v>131</v>
      </c>
      <c r="J42" s="13"/>
      <c r="K42" s="11"/>
      <c r="X42" s="31"/>
      <c r="Y42" s="31"/>
      <c r="Z42" s="31"/>
      <c r="AA42" s="31"/>
      <c r="AI42" s="133"/>
      <c r="AJ42" s="133"/>
      <c r="AK42" s="31"/>
      <c r="AM42" t="s">
        <v>158</v>
      </c>
    </row>
    <row r="43" spans="1:50" ht="12.2" customHeight="1" x14ac:dyDescent="0.25">
      <c r="B43" t="s">
        <v>155</v>
      </c>
      <c r="F43" s="13" t="s">
        <v>7</v>
      </c>
      <c r="G43" s="13"/>
      <c r="H43" s="11"/>
      <c r="I43" s="13" t="s">
        <v>7</v>
      </c>
      <c r="J43" s="13"/>
      <c r="K43" s="11"/>
      <c r="X43" s="31"/>
      <c r="Y43" s="31" t="s">
        <v>157</v>
      </c>
      <c r="Z43" s="31"/>
      <c r="AA43" s="31"/>
      <c r="AH43" s="53"/>
      <c r="AI43" s="36"/>
      <c r="AJ43" s="134"/>
      <c r="AK43" s="31"/>
    </row>
    <row r="44" spans="1:50" ht="12.2" customHeight="1" x14ac:dyDescent="0.25">
      <c r="F44" s="13"/>
      <c r="G44" s="13"/>
      <c r="H44" s="11"/>
      <c r="I44" s="13"/>
      <c r="J44" s="13"/>
      <c r="K44" s="11"/>
      <c r="X44" s="31"/>
      <c r="Y44" s="31"/>
      <c r="Z44" s="31"/>
      <c r="AA44" s="31"/>
      <c r="AH44" s="53"/>
      <c r="AI44" s="36"/>
      <c r="AJ44" s="134"/>
      <c r="AK44" s="31"/>
      <c r="AT44" s="2" t="str">
        <f>B45</f>
        <v>studlab</v>
      </c>
      <c r="AU44" s="2" t="str">
        <f>P45</f>
        <v>Ventilation</v>
      </c>
      <c r="AV44" s="2" t="str">
        <f>S45</f>
        <v>RoM</v>
      </c>
      <c r="AW44" s="2" t="str">
        <f t="shared" ref="AW44:AX47" si="63">Y45</f>
        <v>seTE</v>
      </c>
      <c r="AX44" s="2" t="str">
        <f t="shared" si="63"/>
        <v>TE</v>
      </c>
    </row>
    <row r="45" spans="1:50" ht="12.2" customHeight="1" x14ac:dyDescent="0.25">
      <c r="B45" t="s">
        <v>24</v>
      </c>
      <c r="E45" s="91"/>
      <c r="F45" s="31"/>
      <c r="G45" s="31"/>
      <c r="H45" s="30"/>
      <c r="I45" s="31"/>
      <c r="J45" s="31"/>
      <c r="K45" s="30"/>
      <c r="L45" s="90"/>
      <c r="M45" s="30"/>
      <c r="N45" s="30"/>
      <c r="O45" s="30"/>
      <c r="P45" s="89" t="s">
        <v>97</v>
      </c>
      <c r="S45" s="14" t="s">
        <v>13</v>
      </c>
      <c r="X45" s="31"/>
      <c r="Y45" s="110" t="s">
        <v>25</v>
      </c>
      <c r="Z45" s="111" t="s">
        <v>132</v>
      </c>
      <c r="AA45" s="31"/>
      <c r="AF45" t="str">
        <f t="shared" ref="AF45:AF48" si="64">B45</f>
        <v>studlab</v>
      </c>
      <c r="AH45" s="53"/>
      <c r="AI45" s="36"/>
      <c r="AJ45" s="134"/>
      <c r="AK45" s="31"/>
      <c r="AL45" s="2" t="s">
        <v>143</v>
      </c>
      <c r="AM45" s="2" t="s">
        <v>144</v>
      </c>
      <c r="AN45" s="2" t="s">
        <v>145</v>
      </c>
      <c r="AO45" s="2" t="s">
        <v>147</v>
      </c>
      <c r="AP45" s="2" t="s">
        <v>146</v>
      </c>
      <c r="AT45" s="2" t="str">
        <f t="shared" ref="AT45:AT47" si="65">B46</f>
        <v>Nathens 2002</v>
      </c>
      <c r="AU45" s="2">
        <f>P46</f>
        <v>110.39999999999999</v>
      </c>
      <c r="AV45" s="2">
        <f>S46</f>
        <v>0.80434782608695665</v>
      </c>
      <c r="AW45" s="2">
        <f t="shared" si="63"/>
        <v>3.7027803374977956E-2</v>
      </c>
      <c r="AX45" s="2">
        <f t="shared" si="63"/>
        <v>-0.21772348384487039</v>
      </c>
    </row>
    <row r="46" spans="1:50" ht="12.2" customHeight="1" x14ac:dyDescent="0.25">
      <c r="A46" s="1"/>
      <c r="B46" s="26" t="s">
        <v>153</v>
      </c>
      <c r="C46" s="76"/>
      <c r="E46" s="91"/>
      <c r="F46" s="31">
        <v>3.7</v>
      </c>
      <c r="G46" s="31"/>
      <c r="H46" s="129"/>
      <c r="I46" s="130">
        <v>4.5999999999999996</v>
      </c>
      <c r="J46" s="31"/>
      <c r="K46" s="30"/>
      <c r="L46" s="117" t="s">
        <v>28</v>
      </c>
      <c r="M46" s="13">
        <f>F46*24</f>
        <v>88.800000000000011</v>
      </c>
      <c r="N46" s="131"/>
      <c r="O46" s="131"/>
      <c r="P46" s="109">
        <f t="shared" ref="P46:P48" si="66">I46*24</f>
        <v>110.39999999999999</v>
      </c>
      <c r="Q46" s="13"/>
      <c r="S46" s="51">
        <f>F46/I46</f>
        <v>0.80434782608695665</v>
      </c>
      <c r="U46" s="6"/>
      <c r="V46" s="8"/>
      <c r="W46" s="6"/>
      <c r="X46" s="34"/>
      <c r="Y46" s="35">
        <f>-Z46/AH46</f>
        <v>3.7027803374977956E-2</v>
      </c>
      <c r="Z46" s="34">
        <f t="shared" ref="Z46:Z48" si="67">LN(S46)</f>
        <v>-0.21772348384487039</v>
      </c>
      <c r="AA46" s="6">
        <f t="shared" ref="AA46:AA48" si="68">Z46-1.96*Y46</f>
        <v>-0.29029797845982719</v>
      </c>
      <c r="AB46" s="6">
        <f t="shared" ref="AB46:AB48" si="69">Z46+1.96*Y46</f>
        <v>-0.14514898922991359</v>
      </c>
      <c r="AC46" s="6">
        <f t="shared" ref="AC46:AC48" si="70">EXP(AA46)</f>
        <v>0.74804063436945001</v>
      </c>
      <c r="AD46" s="6">
        <f t="shared" ref="AD46:AD48" si="71">EXP(AB46)</f>
        <v>0.86489342370574773</v>
      </c>
      <c r="AE46" s="6">
        <f t="shared" ref="AE46:AE48" si="72">EXP(Z46)</f>
        <v>0.80434782608695665</v>
      </c>
      <c r="AF46" t="str">
        <f t="shared" si="64"/>
        <v>Nathens 2002</v>
      </c>
      <c r="AH46" s="135">
        <f>AP46</f>
        <v>5.88</v>
      </c>
      <c r="AI46" s="36"/>
      <c r="AJ46" s="134"/>
      <c r="AK46" s="31"/>
      <c r="AL46" s="2">
        <v>0.9</v>
      </c>
      <c r="AM46" s="2">
        <v>0.6</v>
      </c>
      <c r="AN46" s="27">
        <v>1.2</v>
      </c>
      <c r="AO46" s="21">
        <f>(AN46-AM46)/(2*1.96)</f>
        <v>0.15306122448979592</v>
      </c>
      <c r="AP46" s="135">
        <f>AL46/AO46</f>
        <v>5.88</v>
      </c>
      <c r="AT46" s="2" t="str">
        <f t="shared" si="65"/>
        <v>Crimi 2004</v>
      </c>
      <c r="AU46" s="2">
        <f>P47</f>
        <v>213.60000000000002</v>
      </c>
      <c r="AV46" s="2">
        <f>S47</f>
        <v>0.6966292134831461</v>
      </c>
      <c r="AW46" s="2">
        <f t="shared" si="63"/>
        <v>0.18444317729230222</v>
      </c>
      <c r="AX46" s="2">
        <f t="shared" si="63"/>
        <v>-0.36150198468704825</v>
      </c>
    </row>
    <row r="47" spans="1:50" ht="12.2" customHeight="1" x14ac:dyDescent="0.25">
      <c r="B47" s="26" t="s">
        <v>152</v>
      </c>
      <c r="E47" s="91"/>
      <c r="F47" s="31">
        <v>6.2</v>
      </c>
      <c r="G47" s="31"/>
      <c r="H47" s="30"/>
      <c r="I47" s="130">
        <v>8.9</v>
      </c>
      <c r="J47" s="31"/>
      <c r="K47" s="30"/>
      <c r="L47" s="132" t="s">
        <v>28</v>
      </c>
      <c r="M47" s="13">
        <f t="shared" ref="M47:M48" si="73">F47*24</f>
        <v>148.80000000000001</v>
      </c>
      <c r="N47" s="30"/>
      <c r="O47" s="30"/>
      <c r="P47" s="109">
        <f t="shared" si="66"/>
        <v>213.60000000000002</v>
      </c>
      <c r="S47" s="51">
        <f t="shared" ref="S47:S48" si="74">F47/I47</f>
        <v>0.6966292134831461</v>
      </c>
      <c r="X47" s="31"/>
      <c r="Y47" s="35">
        <f t="shared" ref="Y47:Y48" si="75">-Z47/AH47</f>
        <v>0.18444317729230222</v>
      </c>
      <c r="Z47" s="34">
        <f t="shared" si="67"/>
        <v>-0.36150198468704825</v>
      </c>
      <c r="AA47" s="6">
        <f t="shared" si="68"/>
        <v>-0.72301061217996065</v>
      </c>
      <c r="AB47" s="6">
        <f t="shared" si="69"/>
        <v>6.6428058640988219E-6</v>
      </c>
      <c r="AC47" s="6">
        <f t="shared" si="70"/>
        <v>0.48528903738657619</v>
      </c>
      <c r="AD47" s="6">
        <f t="shared" si="71"/>
        <v>1.0000066428279275</v>
      </c>
      <c r="AE47" s="6">
        <f t="shared" si="72"/>
        <v>0.6966292134831461</v>
      </c>
      <c r="AF47" t="str">
        <f t="shared" si="64"/>
        <v>Crimi 2004</v>
      </c>
      <c r="AH47" s="135">
        <f>-NORMSINV(AI47)</f>
        <v>1.9599639845400538</v>
      </c>
      <c r="AI47" s="36">
        <f t="shared" ref="AI47:AI48" si="76">AJ47/2</f>
        <v>2.5000000000000001E-2</v>
      </c>
      <c r="AJ47" s="134">
        <v>0.05</v>
      </c>
      <c r="AK47" s="31"/>
      <c r="AT47" s="2" t="str">
        <f t="shared" si="65"/>
        <v>Howe 2015</v>
      </c>
      <c r="AU47" s="2">
        <f>P48</f>
        <v>456</v>
      </c>
      <c r="AV47" s="2">
        <f>S48</f>
        <v>0.52631578947368418</v>
      </c>
      <c r="AW47" s="2">
        <f t="shared" si="63"/>
        <v>0.27590623626616151</v>
      </c>
      <c r="AX47" s="2">
        <f t="shared" si="63"/>
        <v>-0.64185388617239481</v>
      </c>
    </row>
    <row r="48" spans="1:50" ht="12.2" customHeight="1" x14ac:dyDescent="0.25">
      <c r="B48" s="26" t="s">
        <v>151</v>
      </c>
      <c r="E48" s="91"/>
      <c r="F48" s="31">
        <v>10</v>
      </c>
      <c r="G48" s="31"/>
      <c r="H48" s="30"/>
      <c r="I48" s="130">
        <v>19</v>
      </c>
      <c r="J48" s="31"/>
      <c r="K48" s="30"/>
      <c r="L48" s="132" t="s">
        <v>28</v>
      </c>
      <c r="M48" s="13">
        <f t="shared" si="73"/>
        <v>240</v>
      </c>
      <c r="N48" s="30"/>
      <c r="O48" s="30"/>
      <c r="P48" s="109">
        <f t="shared" si="66"/>
        <v>456</v>
      </c>
      <c r="S48" s="51">
        <f t="shared" si="74"/>
        <v>0.52631578947368418</v>
      </c>
      <c r="X48" s="31"/>
      <c r="Y48" s="35">
        <f t="shared" si="75"/>
        <v>0.27590623626616151</v>
      </c>
      <c r="Z48" s="34">
        <f t="shared" si="67"/>
        <v>-0.64185388617239481</v>
      </c>
      <c r="AA48" s="6">
        <f t="shared" si="68"/>
        <v>-1.1826301092540712</v>
      </c>
      <c r="AB48" s="6">
        <f t="shared" si="69"/>
        <v>-0.10107766309071831</v>
      </c>
      <c r="AC48" s="6">
        <f t="shared" si="70"/>
        <v>0.30647162381246074</v>
      </c>
      <c r="AD48" s="6">
        <f t="shared" si="71"/>
        <v>0.90386283337871842</v>
      </c>
      <c r="AE48" s="6">
        <f t="shared" si="72"/>
        <v>0.52631578947368418</v>
      </c>
      <c r="AF48" t="str">
        <f t="shared" si="64"/>
        <v>Howe 2015</v>
      </c>
      <c r="AH48" s="135">
        <f>-NORMSINV(AI48)</f>
        <v>2.3263478740408408</v>
      </c>
      <c r="AI48" s="36">
        <f t="shared" si="76"/>
        <v>0.01</v>
      </c>
      <c r="AJ48" s="134">
        <v>0.02</v>
      </c>
      <c r="AK48" s="31"/>
    </row>
    <row r="49" spans="6:37" ht="12.2" customHeight="1" x14ac:dyDescent="0.25">
      <c r="Y49" s="31"/>
      <c r="Z49" s="31"/>
      <c r="AI49" s="133"/>
      <c r="AJ49" s="133"/>
      <c r="AK49" s="31"/>
    </row>
    <row r="50" spans="6:37" ht="12.2" customHeight="1" x14ac:dyDescent="0.25">
      <c r="AH50" s="53"/>
      <c r="AI50" s="36"/>
      <c r="AJ50" s="134"/>
      <c r="AK50" s="31"/>
    </row>
    <row r="51" spans="6:37" ht="12.2" customHeight="1" x14ac:dyDescent="0.25">
      <c r="AI51" s="133"/>
      <c r="AJ51" s="133"/>
      <c r="AK51" s="31"/>
    </row>
    <row r="53" spans="6:37" ht="12.2" customHeight="1" x14ac:dyDescent="0.25">
      <c r="F53" t="s">
        <v>186</v>
      </c>
    </row>
    <row r="56" spans="6:37" ht="12.2" customHeight="1" x14ac:dyDescent="0.25">
      <c r="H56" s="88" t="s">
        <v>9</v>
      </c>
      <c r="I56" s="2" t="s">
        <v>173</v>
      </c>
      <c r="J56" s="2" t="s">
        <v>8</v>
      </c>
      <c r="K56" s="3" t="s">
        <v>174</v>
      </c>
      <c r="M56" s="2" t="s">
        <v>175</v>
      </c>
    </row>
    <row r="57" spans="6:37" ht="12.2" customHeight="1" x14ac:dyDescent="0.25">
      <c r="G57" t="s">
        <v>6</v>
      </c>
      <c r="H57" s="88">
        <v>96</v>
      </c>
      <c r="I57" s="21">
        <f>I35</f>
        <v>1.44</v>
      </c>
      <c r="J57" s="21">
        <f>J35</f>
        <v>0.97</v>
      </c>
      <c r="K57" s="2">
        <f>J57*J57</f>
        <v>0.94089999999999996</v>
      </c>
      <c r="M57" s="2">
        <f>(H57-1)*K57</f>
        <v>89.385499999999993</v>
      </c>
    </row>
    <row r="58" spans="6:37" ht="12.2" customHeight="1" x14ac:dyDescent="0.25">
      <c r="G58" t="s">
        <v>185</v>
      </c>
      <c r="H58" s="88">
        <v>89</v>
      </c>
      <c r="I58" s="21">
        <f>F35</f>
        <v>1.1599999999999999</v>
      </c>
      <c r="J58" s="21">
        <f>G35</f>
        <v>0.77</v>
      </c>
      <c r="K58" s="2">
        <f>J58*J58</f>
        <v>0.59289999999999998</v>
      </c>
      <c r="M58" s="2">
        <f>(H58-1)*K58</f>
        <v>52.175199999999997</v>
      </c>
    </row>
    <row r="59" spans="6:37" ht="12.2" customHeight="1" x14ac:dyDescent="0.25">
      <c r="H59" s="88"/>
      <c r="I59" s="2"/>
      <c r="J59" s="2"/>
      <c r="M59" s="2"/>
    </row>
    <row r="60" spans="6:37" ht="12.2" customHeight="1" x14ac:dyDescent="0.25">
      <c r="H60" s="88"/>
      <c r="I60" s="2"/>
      <c r="J60" s="2"/>
      <c r="M60" s="2"/>
    </row>
    <row r="61" spans="6:37" ht="12.2" customHeight="1" x14ac:dyDescent="0.25">
      <c r="H61" s="88"/>
      <c r="I61" s="2"/>
      <c r="J61" s="2"/>
      <c r="K61" s="3" t="s">
        <v>176</v>
      </c>
      <c r="M61" s="2">
        <f>M57+M58</f>
        <v>141.5607</v>
      </c>
    </row>
    <row r="62" spans="6:37" ht="12.2" customHeight="1" x14ac:dyDescent="0.25">
      <c r="H62" s="88"/>
      <c r="I62" s="2"/>
      <c r="J62" s="2"/>
      <c r="K62" s="3" t="s">
        <v>177</v>
      </c>
      <c r="M62" s="2">
        <f>M61/(H57+H58-2)</f>
        <v>0.77355573770491803</v>
      </c>
    </row>
    <row r="63" spans="6:37" ht="12.2" customHeight="1" x14ac:dyDescent="0.25">
      <c r="H63" s="88"/>
      <c r="I63" s="2"/>
      <c r="J63" s="2"/>
      <c r="K63" s="3" t="s">
        <v>178</v>
      </c>
      <c r="M63" s="2">
        <f>M62/H57+M62/H58</f>
        <v>1.6749509770062013E-2</v>
      </c>
    </row>
    <row r="64" spans="6:37" ht="12.2" customHeight="1" x14ac:dyDescent="0.25">
      <c r="G64" t="s">
        <v>179</v>
      </c>
      <c r="H64" s="2"/>
      <c r="I64" s="21">
        <f>I58-I57</f>
        <v>-0.28000000000000003</v>
      </c>
      <c r="J64" s="2" t="s">
        <v>147</v>
      </c>
      <c r="K64" s="3" t="s">
        <v>180</v>
      </c>
      <c r="M64" s="2">
        <f>SQRT(M63)</f>
        <v>0.12941989711810936</v>
      </c>
    </row>
    <row r="65" spans="7:9" ht="12.2" customHeight="1" x14ac:dyDescent="0.25">
      <c r="H65" s="2"/>
      <c r="I65" s="2"/>
    </row>
    <row r="66" spans="7:9" ht="12.2" customHeight="1" x14ac:dyDescent="0.25">
      <c r="H66" s="2"/>
      <c r="I66" s="2"/>
    </row>
    <row r="67" spans="7:9" ht="12.2" customHeight="1" x14ac:dyDescent="0.25">
      <c r="H67" s="2"/>
      <c r="I67" s="2"/>
    </row>
    <row r="68" spans="7:9" ht="12.2" customHeight="1" x14ac:dyDescent="0.25">
      <c r="G68" t="s">
        <v>181</v>
      </c>
      <c r="H68" s="2">
        <f>I64/M64</f>
        <v>-2.1635004063128744</v>
      </c>
      <c r="I68" s="2"/>
    </row>
    <row r="69" spans="7:9" ht="12.2" customHeight="1" x14ac:dyDescent="0.25">
      <c r="G69" t="s">
        <v>182</v>
      </c>
      <c r="H69" s="2">
        <f>H57+H58-2</f>
        <v>183</v>
      </c>
      <c r="I69" s="2"/>
    </row>
    <row r="70" spans="7:9" ht="12.2" customHeight="1" x14ac:dyDescent="0.25">
      <c r="H70" s="2"/>
      <c r="I70" s="2"/>
    </row>
    <row r="71" spans="7:9" ht="12.2" customHeight="1" x14ac:dyDescent="0.25">
      <c r="G71" t="s">
        <v>183</v>
      </c>
      <c r="H71" s="2">
        <f>_xlfn.T.DIST(H68,H69,1)</f>
        <v>1.5899598483163697E-2</v>
      </c>
      <c r="I71" s="2"/>
    </row>
    <row r="72" spans="7:9" ht="12.2" customHeight="1" x14ac:dyDescent="0.25">
      <c r="H72" s="2"/>
      <c r="I72" s="2"/>
    </row>
    <row r="73" spans="7:9" ht="12.2" customHeight="1" x14ac:dyDescent="0.25">
      <c r="G73" t="s">
        <v>184</v>
      </c>
      <c r="H73" s="2">
        <f>2*H71</f>
        <v>3.1799196966327395E-2</v>
      </c>
      <c r="I73" s="2"/>
    </row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scale="95" firstPageNumber="0" orientation="landscape" horizontalDpi="300" verticalDpi="300" r:id="rId1"/>
  <headerFooter alignWithMargins="0">
    <oddHeader>&amp;C&amp;"Arial,Normaali"&amp;10&amp;A</oddHeader>
    <oddFooter>&amp;C&amp;"Arial,Normaali"&amp;10Page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zoomScale="90" zoomScaleNormal="90" workbookViewId="0">
      <selection activeCell="I24" sqref="I24"/>
    </sheetView>
  </sheetViews>
  <sheetFormatPr defaultColWidth="11.42578125" defaultRowHeight="15" x14ac:dyDescent="0.25"/>
  <cols>
    <col min="1" max="1" width="11.42578125" customWidth="1"/>
    <col min="2" max="2" width="15.28515625" style="2" customWidth="1"/>
    <col min="3" max="5" width="11.5703125" style="2" customWidth="1"/>
    <col min="6" max="6" width="8.85546875" style="2" customWidth="1"/>
    <col min="7" max="7" width="8.7109375" customWidth="1"/>
  </cols>
  <sheetData>
    <row r="1" spans="1:7" x14ac:dyDescent="0.25">
      <c r="A1" t="str">
        <f>Ventilation!AL12</f>
        <v>studlab</v>
      </c>
      <c r="B1" s="2" t="str">
        <f>Ventilation!AM12</f>
        <v>participants</v>
      </c>
      <c r="C1" s="2" t="str">
        <f>Ventilation!AN12</f>
        <v>RoM</v>
      </c>
      <c r="D1" s="2" t="str">
        <f>Ventilation!AO12</f>
        <v>seTE</v>
      </c>
      <c r="E1" s="2" t="str">
        <f>Ventilation!AP12</f>
        <v>Ventilation</v>
      </c>
      <c r="F1" s="2" t="str">
        <f>Ventilation!AQ12</f>
        <v>route</v>
      </c>
      <c r="G1" s="2" t="str">
        <f>Ventilation!AR12</f>
        <v>dose</v>
      </c>
    </row>
    <row r="2" spans="1:7" x14ac:dyDescent="0.25">
      <c r="A2" t="str">
        <f>Ventilation!AL13</f>
        <v>Amini</v>
      </c>
      <c r="B2" s="2" t="str">
        <f>Ventilation!AM13</f>
        <v>cardiac</v>
      </c>
      <c r="C2" s="27">
        <f>Ventilation!AN13</f>
        <v>1.097305389221557</v>
      </c>
      <c r="D2" s="27">
        <f>Ventilation!AO13</f>
        <v>0.12600448358422067</v>
      </c>
      <c r="E2" s="21">
        <f>Ventilation!AP13</f>
        <v>6.68</v>
      </c>
      <c r="F2" s="2" t="str">
        <f>Ventilation!AQ13</f>
        <v>po</v>
      </c>
      <c r="G2" s="2">
        <f>Ventilation!AR13</f>
        <v>3</v>
      </c>
    </row>
    <row r="3" spans="1:7" x14ac:dyDescent="0.25">
      <c r="A3" t="str">
        <f>Ventilation!AL14</f>
        <v>Bjordahl</v>
      </c>
      <c r="B3" s="2" t="str">
        <f>Ventilation!AM14</f>
        <v>cardiac</v>
      </c>
      <c r="C3" s="27">
        <f>Ventilation!AN14</f>
        <v>0.85714285714285721</v>
      </c>
      <c r="D3" s="27">
        <f>Ventilation!AO14</f>
        <v>7.1884870520605201E-2</v>
      </c>
      <c r="E3" s="21">
        <f>Ventilation!AP14</f>
        <v>33.599999999999994</v>
      </c>
      <c r="F3" s="2" t="str">
        <f>Ventilation!AQ14</f>
        <v>po</v>
      </c>
      <c r="G3" s="2">
        <f>Ventilation!AR14</f>
        <v>2</v>
      </c>
    </row>
    <row r="4" spans="1:7" x14ac:dyDescent="0.25">
      <c r="A4" t="str">
        <f>Ventilation!AL15</f>
        <v>Dehghani</v>
      </c>
      <c r="B4" s="2" t="str">
        <f>Ventilation!AM15</f>
        <v>cardiac</v>
      </c>
      <c r="C4" s="27">
        <f>Ventilation!AN15</f>
        <v>0.86826735885788453</v>
      </c>
      <c r="D4" s="27">
        <f>Ventilation!AO15</f>
        <v>0.13339609388574133</v>
      </c>
      <c r="E4" s="21">
        <f>Ventilation!AP15</f>
        <v>15.41</v>
      </c>
      <c r="F4" s="2" t="str">
        <f>Ventilation!AQ15</f>
        <v>po</v>
      </c>
      <c r="G4" s="2">
        <f>Ventilation!AR15</f>
        <v>1</v>
      </c>
    </row>
    <row r="5" spans="1:7" x14ac:dyDescent="0.25">
      <c r="A5" t="str">
        <f>Ventilation!AL16</f>
        <v>Ebade</v>
      </c>
      <c r="B5" s="2" t="str">
        <f>Ventilation!AM16</f>
        <v>cardiac</v>
      </c>
      <c r="C5" s="27">
        <f>Ventilation!AN16</f>
        <v>1.0251256281407035</v>
      </c>
      <c r="D5" s="27">
        <f>Ventilation!AO16</f>
        <v>5.1818364451439669E-2</v>
      </c>
      <c r="E5" s="21">
        <f>Ventilation!AP16</f>
        <v>1.99</v>
      </c>
      <c r="F5" s="2" t="str">
        <f>Ventilation!AQ16</f>
        <v>iv</v>
      </c>
      <c r="G5" s="2">
        <f>Ventilation!AR16</f>
        <v>3</v>
      </c>
    </row>
    <row r="6" spans="1:7" x14ac:dyDescent="0.25">
      <c r="A6" t="str">
        <f>Ventilation!AL17</f>
        <v>Habib</v>
      </c>
      <c r="B6" s="2" t="str">
        <f>Ventilation!AM17</f>
        <v>non-cardiac</v>
      </c>
      <c r="C6" s="27">
        <f>Ventilation!AN17</f>
        <v>0.58449809402795416</v>
      </c>
      <c r="D6" s="27">
        <f>Ventilation!AO17</f>
        <v>8.3754494518217981E-2</v>
      </c>
      <c r="E6" s="21">
        <f>Ventilation!AP17</f>
        <v>188.88</v>
      </c>
      <c r="F6" s="2" t="str">
        <f>Ventilation!AQ17</f>
        <v>iv</v>
      </c>
      <c r="G6" s="2">
        <f>Ventilation!AR17</f>
        <v>6</v>
      </c>
    </row>
    <row r="7" spans="1:7" x14ac:dyDescent="0.25">
      <c r="A7" t="str">
        <f>Ventilation!AL18</f>
        <v>Safaei</v>
      </c>
      <c r="B7" s="2" t="str">
        <f>Ventilation!AM18</f>
        <v>cardiac</v>
      </c>
      <c r="C7" s="27">
        <f>Ventilation!AN18</f>
        <v>0.65938864628820959</v>
      </c>
      <c r="D7" s="27">
        <f>Ventilation!AO18</f>
        <v>0.17866583150713938</v>
      </c>
      <c r="E7" s="21">
        <f>Ventilation!AP18</f>
        <v>22.9</v>
      </c>
      <c r="F7" s="2" t="str">
        <f>Ventilation!AQ18</f>
        <v>iv</v>
      </c>
      <c r="G7" s="2">
        <f>Ventilation!AR18</f>
        <v>2</v>
      </c>
    </row>
    <row r="8" spans="1:7" x14ac:dyDescent="0.25">
      <c r="A8" t="str">
        <f>Ventilation!AL19</f>
        <v>Tanaka</v>
      </c>
      <c r="B8" s="2" t="str">
        <f>Ventilation!AM19</f>
        <v>non-cardiac</v>
      </c>
      <c r="C8" s="27">
        <f>Ventilation!AN19</f>
        <v>0.568075117370892</v>
      </c>
      <c r="D8" s="27">
        <f>Ventilation!AO19</f>
        <v>0.24007972483166551</v>
      </c>
      <c r="E8" s="21">
        <f>Ventilation!AP19</f>
        <v>511.20000000000005</v>
      </c>
      <c r="F8" s="2" t="str">
        <f>Ventilation!AQ19</f>
        <v>iv</v>
      </c>
      <c r="G8" s="2">
        <f>Ventilation!AR19</f>
        <v>90</v>
      </c>
    </row>
    <row r="9" spans="1:7" x14ac:dyDescent="0.25">
      <c r="A9" t="str">
        <f>Ventilation!AL20</f>
        <v>Zabet</v>
      </c>
      <c r="B9" s="2" t="str">
        <f>Ventilation!AM20</f>
        <v>non-cardiac</v>
      </c>
      <c r="C9" s="27">
        <f>Ventilation!AN20</f>
        <v>0.78302693458743056</v>
      </c>
      <c r="D9" s="27">
        <f>Ventilation!AO20</f>
        <v>0.13096729559521653</v>
      </c>
      <c r="E9" s="21">
        <f>Ventilation!AP20</f>
        <v>46.78</v>
      </c>
      <c r="F9" s="2" t="str">
        <f>Ventilation!AQ20</f>
        <v>iv</v>
      </c>
      <c r="G9" s="2">
        <f>Ventilation!AR20</f>
        <v>6</v>
      </c>
    </row>
  </sheetData>
  <sheetProtection selectLockedCells="1" selectUnlockedCells="1"/>
  <pageMargins left="0.78749999999999998" right="0.78749999999999998" top="0.63124999999999998" bottom="0.63124999999999998" header="0.39374999999999999" footer="0.39374999999999999"/>
  <pageSetup paperSize="9" firstPageNumber="0" orientation="landscape" horizontalDpi="300" verticalDpi="300"/>
  <headerFooter alignWithMargins="0">
    <oddHeader>&amp;C&amp;"Arial,Normaali"&amp;10&amp;A</oddHeader>
    <oddFooter>&amp;C&amp;"Arial,Normaali"&amp;10Page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BD69-8358-44F0-AD6E-79AB52BC4CF4}">
  <dimension ref="A1:E4"/>
  <sheetViews>
    <sheetView workbookViewId="0">
      <selection activeCell="B2" sqref="B2"/>
    </sheetView>
  </sheetViews>
  <sheetFormatPr defaultRowHeight="15" x14ac:dyDescent="0.25"/>
  <cols>
    <col min="1" max="1" width="13.5703125" customWidth="1"/>
    <col min="2" max="2" width="12.140625" customWidth="1"/>
  </cols>
  <sheetData>
    <row r="1" spans="1:5" x14ac:dyDescent="0.25">
      <c r="A1" t="str">
        <f>Ventilation!AT44</f>
        <v>studlab</v>
      </c>
      <c r="B1" s="2" t="str">
        <f>Ventilation!AU44</f>
        <v>Ventilation</v>
      </c>
      <c r="C1" s="2" t="str">
        <f>Ventilation!AV44</f>
        <v>RoM</v>
      </c>
      <c r="D1" s="2" t="str">
        <f>Ventilation!AW44</f>
        <v>seTE</v>
      </c>
      <c r="E1" s="2" t="str">
        <f>Ventilation!AX44</f>
        <v>TE</v>
      </c>
    </row>
    <row r="2" spans="1:5" x14ac:dyDescent="0.25">
      <c r="A2" t="str">
        <f>Ventilation!AT45</f>
        <v>Nathens 2002</v>
      </c>
      <c r="B2" s="28">
        <f>Ventilation!AU45</f>
        <v>110.39999999999999</v>
      </c>
      <c r="C2" s="2">
        <f>Ventilation!AV45</f>
        <v>0.80434782608695665</v>
      </c>
      <c r="D2" s="2">
        <f>Ventilation!AW45</f>
        <v>3.7027803374977956E-2</v>
      </c>
      <c r="E2" s="2">
        <f>Ventilation!AX45</f>
        <v>-0.21772348384487039</v>
      </c>
    </row>
    <row r="3" spans="1:5" x14ac:dyDescent="0.25">
      <c r="A3" t="str">
        <f>Ventilation!AT46</f>
        <v>Crimi 2004</v>
      </c>
      <c r="B3" s="28">
        <f>Ventilation!AU46</f>
        <v>213.60000000000002</v>
      </c>
      <c r="C3" s="2">
        <f>Ventilation!AV46</f>
        <v>0.6966292134831461</v>
      </c>
      <c r="D3" s="2">
        <f>Ventilation!AW46</f>
        <v>0.18444317729230222</v>
      </c>
      <c r="E3" s="2">
        <f>Ventilation!AX46</f>
        <v>-0.36150198468704825</v>
      </c>
    </row>
    <row r="4" spans="1:5" x14ac:dyDescent="0.25">
      <c r="A4" t="str">
        <f>Ventilation!AT47</f>
        <v>Howe 2015</v>
      </c>
      <c r="B4" s="28">
        <f>Ventilation!AU47</f>
        <v>456</v>
      </c>
      <c r="C4" s="2">
        <f>Ventilation!AV47</f>
        <v>0.52631578947368418</v>
      </c>
      <c r="D4" s="2">
        <f>Ventilation!AW47</f>
        <v>0.27590623626616151</v>
      </c>
      <c r="E4" s="2">
        <f>Ventilation!AX47</f>
        <v>-0.64185388617239481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65538"/>
  <sheetViews>
    <sheetView tabSelected="1" topLeftCell="A10" zoomScale="90" zoomScaleNormal="90" workbookViewId="0">
      <selection activeCell="I33" sqref="I33"/>
    </sheetView>
  </sheetViews>
  <sheetFormatPr defaultColWidth="11.42578125" defaultRowHeight="14.45" customHeight="1" x14ac:dyDescent="0.25"/>
  <cols>
    <col min="1" max="1" width="19.28515625" style="55" customWidth="1"/>
    <col min="2" max="2" width="18.140625" style="55" customWidth="1"/>
    <col min="3" max="3" width="19.7109375" style="55" customWidth="1"/>
    <col min="4" max="4" width="19.140625" style="55" customWidth="1"/>
    <col min="5" max="5" width="16.42578125" style="57" customWidth="1"/>
    <col min="6" max="6" width="17" style="56" customWidth="1"/>
    <col min="7" max="7" width="14.7109375" style="56" customWidth="1"/>
    <col min="8" max="14" width="11.42578125" style="56"/>
    <col min="15" max="15" width="5.28515625" style="56" customWidth="1"/>
    <col min="16" max="19" width="11.42578125" style="56"/>
    <col min="20" max="20" width="5.28515625" style="56" customWidth="1"/>
    <col min="21" max="22" width="11.42578125" style="55"/>
    <col min="23" max="16384" width="11.42578125" style="56"/>
  </cols>
  <sheetData>
    <row r="1" spans="1:7" ht="18.2" customHeight="1" x14ac:dyDescent="0.25">
      <c r="B1" s="74" t="s">
        <v>81</v>
      </c>
      <c r="C1" s="57"/>
      <c r="D1" s="57"/>
    </row>
    <row r="2" spans="1:7" ht="14.45" customHeight="1" x14ac:dyDescent="0.25">
      <c r="B2" s="57"/>
      <c r="C2" s="57"/>
      <c r="D2" s="57"/>
    </row>
    <row r="3" spans="1:7" ht="15.75" customHeight="1" x14ac:dyDescent="0.25">
      <c r="B3" s="57" t="s">
        <v>21</v>
      </c>
      <c r="C3" s="57" t="s">
        <v>22</v>
      </c>
      <c r="D3" s="57"/>
      <c r="E3" s="57" t="s">
        <v>23</v>
      </c>
    </row>
    <row r="4" spans="1:7" ht="15.75" customHeight="1" x14ac:dyDescent="0.25">
      <c r="B4" s="57">
        <v>1.96</v>
      </c>
      <c r="C4" s="58">
        <f>1-NORMSDIST(B4)</f>
        <v>2.4997895148220484E-2</v>
      </c>
      <c r="D4" s="57"/>
      <c r="E4" s="59">
        <f>2*C4</f>
        <v>4.9995790296440967E-2</v>
      </c>
    </row>
    <row r="5" spans="1:7" ht="15.75" customHeight="1" x14ac:dyDescent="0.25">
      <c r="B5" s="57"/>
      <c r="C5" s="58"/>
      <c r="D5" s="57"/>
      <c r="E5" s="59"/>
    </row>
    <row r="6" spans="1:7" ht="14.45" customHeight="1" x14ac:dyDescent="0.25">
      <c r="B6" s="60">
        <v>4.46</v>
      </c>
      <c r="C6" s="62">
        <f>1-NORMSDIST(B6)</f>
        <v>4.0979826466669422E-6</v>
      </c>
      <c r="D6" s="57"/>
      <c r="E6" s="62">
        <f>2*C6</f>
        <v>8.1959652933338845E-6</v>
      </c>
      <c r="F6" s="143">
        <f>E6</f>
        <v>8.1959652933338845E-6</v>
      </c>
      <c r="G6" s="56" t="s">
        <v>191</v>
      </c>
    </row>
    <row r="7" spans="1:7" ht="14.45" customHeight="1" x14ac:dyDescent="0.25">
      <c r="B7" s="60">
        <v>6.45</v>
      </c>
      <c r="C7" s="96">
        <f>1-NORMSDIST(B7)</f>
        <v>5.5925042374838085E-11</v>
      </c>
      <c r="D7" s="57"/>
      <c r="E7" s="96">
        <f>2*C7</f>
        <v>1.1185008474967617E-10</v>
      </c>
      <c r="F7" s="61">
        <f>E7</f>
        <v>1.1185008474967617E-10</v>
      </c>
      <c r="G7" s="56" t="s">
        <v>192</v>
      </c>
    </row>
    <row r="8" spans="1:7" ht="14.45" customHeight="1" x14ac:dyDescent="0.25">
      <c r="B8" s="60"/>
      <c r="C8" s="96"/>
      <c r="D8" s="57"/>
      <c r="E8" s="96"/>
      <c r="F8" s="102"/>
    </row>
    <row r="9" spans="1:7" ht="14.45" customHeight="1" x14ac:dyDescent="0.25">
      <c r="B9" s="60"/>
      <c r="C9" s="58"/>
      <c r="D9" s="57"/>
      <c r="E9" s="58"/>
      <c r="F9" s="102"/>
    </row>
    <row r="10" spans="1:7" ht="14.45" customHeight="1" x14ac:dyDescent="0.25">
      <c r="B10" s="60"/>
      <c r="C10" s="96"/>
      <c r="D10" s="57"/>
      <c r="E10" s="96"/>
      <c r="F10" s="102"/>
    </row>
    <row r="11" spans="1:7" ht="14.45" customHeight="1" x14ac:dyDescent="0.25">
      <c r="A11" s="55">
        <v>2.5000000000000001E-2</v>
      </c>
      <c r="B11" s="60"/>
      <c r="C11" s="58"/>
      <c r="D11" s="57"/>
      <c r="E11" s="62"/>
      <c r="F11" s="61"/>
    </row>
    <row r="12" spans="1:7" ht="14.45" customHeight="1" x14ac:dyDescent="0.25">
      <c r="A12" s="55" t="s">
        <v>21</v>
      </c>
      <c r="B12" s="55" t="s">
        <v>70</v>
      </c>
      <c r="D12" s="55" t="s">
        <v>71</v>
      </c>
      <c r="E12" s="57" t="s">
        <v>23</v>
      </c>
    </row>
    <row r="13" spans="1:7" ht="14.45" customHeight="1" x14ac:dyDescent="0.25">
      <c r="A13" s="81">
        <f>-NORMINV(A11,0,1)</f>
        <v>1.9599639845400538</v>
      </c>
      <c r="B13" s="55">
        <f>A13*A13</f>
        <v>3.8414588206941245</v>
      </c>
      <c r="C13" s="55" t="s">
        <v>73</v>
      </c>
      <c r="D13" s="55">
        <v>1</v>
      </c>
      <c r="E13" s="58">
        <f>CHIDIST(B13,D13)</f>
        <v>5.0000000000000044E-2</v>
      </c>
    </row>
    <row r="14" spans="1:7" ht="14.45" customHeight="1" x14ac:dyDescent="0.25">
      <c r="B14" s="55">
        <v>149.44900000000001</v>
      </c>
      <c r="C14" s="55" t="s">
        <v>72</v>
      </c>
      <c r="D14" s="55">
        <v>100</v>
      </c>
      <c r="E14" s="58">
        <f>CHIDIST(B14,D14)</f>
        <v>1.0000462217732522E-3</v>
      </c>
    </row>
    <row r="15" spans="1:7" ht="14.45" customHeight="1" x14ac:dyDescent="0.25">
      <c r="B15" s="55">
        <v>42.16</v>
      </c>
      <c r="D15" s="55">
        <v>7</v>
      </c>
      <c r="E15" s="58">
        <f>CHIDIST(B15,D15)</f>
        <v>4.8437907280847481E-7</v>
      </c>
      <c r="F15" s="102">
        <f>E15</f>
        <v>4.8437907280847481E-7</v>
      </c>
      <c r="G15" s="56" t="s">
        <v>193</v>
      </c>
    </row>
    <row r="16" spans="1:7" ht="14.45" customHeight="1" x14ac:dyDescent="0.25">
      <c r="E16" s="61"/>
    </row>
    <row r="17" spans="1:7" ht="14.45" customHeight="1" x14ac:dyDescent="0.25">
      <c r="A17" s="55">
        <v>5.2102000000000004</v>
      </c>
      <c r="B17" s="144">
        <f>A17*A17</f>
        <v>27.146184040000005</v>
      </c>
      <c r="D17" s="55">
        <v>1</v>
      </c>
      <c r="E17" s="59">
        <f>CHIDIST(B17,D17)</f>
        <v>1.8863717222504155E-7</v>
      </c>
      <c r="F17" s="61">
        <f>E17</f>
        <v>1.8863717222504155E-7</v>
      </c>
      <c r="G17" s="56" t="s">
        <v>194</v>
      </c>
    </row>
    <row r="18" spans="1:7" ht="14.45" customHeight="1" x14ac:dyDescent="0.25">
      <c r="E18" s="59"/>
      <c r="F18" s="61"/>
    </row>
    <row r="20" spans="1:7" ht="14.45" customHeight="1" x14ac:dyDescent="0.25">
      <c r="D20" s="55" t="s">
        <v>86</v>
      </c>
      <c r="E20" s="80" t="s">
        <v>89</v>
      </c>
      <c r="F20" s="55"/>
      <c r="G20" s="57"/>
    </row>
    <row r="21" spans="1:7" ht="14.45" customHeight="1" x14ac:dyDescent="0.25">
      <c r="E21" s="55"/>
      <c r="F21" s="55"/>
      <c r="G21" s="57"/>
    </row>
    <row r="22" spans="1:7" ht="14.45" customHeight="1" x14ac:dyDescent="0.25">
      <c r="D22" s="55" t="s">
        <v>87</v>
      </c>
      <c r="E22" s="55">
        <v>0.14990000000000001</v>
      </c>
      <c r="F22" s="55"/>
      <c r="G22" s="57"/>
    </row>
    <row r="23" spans="1:7" ht="14.45" customHeight="1" x14ac:dyDescent="0.25">
      <c r="D23" s="55" t="s">
        <v>88</v>
      </c>
      <c r="E23" s="55">
        <v>-0.26329999999999998</v>
      </c>
      <c r="F23" s="55"/>
      <c r="G23" s="57"/>
    </row>
    <row r="24" spans="1:7" ht="14.45" customHeight="1" x14ac:dyDescent="0.25">
      <c r="E24" s="55"/>
      <c r="F24" s="55"/>
      <c r="G24" s="57"/>
    </row>
    <row r="25" spans="1:7" ht="14.45" customHeight="1" x14ac:dyDescent="0.25">
      <c r="B25" s="82" t="s">
        <v>90</v>
      </c>
      <c r="C25" s="82" t="s">
        <v>90</v>
      </c>
      <c r="D25" s="82" t="s">
        <v>94</v>
      </c>
      <c r="E25" s="82" t="s">
        <v>92</v>
      </c>
      <c r="F25" s="82" t="s">
        <v>13</v>
      </c>
      <c r="G25" s="112" t="s">
        <v>93</v>
      </c>
    </row>
    <row r="26" spans="1:7" ht="14.45" customHeight="1" x14ac:dyDescent="0.25">
      <c r="B26" s="82" t="s">
        <v>91</v>
      </c>
      <c r="C26" s="82" t="s">
        <v>91</v>
      </c>
      <c r="D26" s="82"/>
      <c r="E26" s="82" t="s">
        <v>133</v>
      </c>
      <c r="F26" s="82"/>
      <c r="G26" s="112"/>
    </row>
    <row r="27" spans="1:7" ht="14.45" customHeight="1" x14ac:dyDescent="0.25">
      <c r="B27" s="82" t="s">
        <v>95</v>
      </c>
      <c r="C27" s="82" t="s">
        <v>48</v>
      </c>
      <c r="E27" s="55"/>
      <c r="F27" s="55"/>
      <c r="G27" s="57"/>
    </row>
    <row r="28" spans="1:7" ht="14.45" customHeight="1" x14ac:dyDescent="0.25">
      <c r="B28" s="82"/>
      <c r="C28" s="82">
        <v>6</v>
      </c>
      <c r="D28" s="81">
        <f>LOG10(C28)</f>
        <v>0.77815125038364363</v>
      </c>
      <c r="E28" s="81">
        <f t="shared" ref="E28" si="0">E$22+E$23*D28</f>
        <v>-5.4987224226013348E-2</v>
      </c>
      <c r="F28" s="81">
        <f>EXP(E28)</f>
        <v>0.94649724011105907</v>
      </c>
      <c r="G28" s="94">
        <f>(1-F28)*100</f>
        <v>5.3502759888940936</v>
      </c>
    </row>
    <row r="29" spans="1:7" ht="14.45" customHeight="1" x14ac:dyDescent="0.25">
      <c r="B29" s="82"/>
      <c r="C29" s="82">
        <v>12</v>
      </c>
      <c r="D29" s="81">
        <f>LOG10(C29)</f>
        <v>1.0791812460476249</v>
      </c>
      <c r="E29" s="81">
        <f t="shared" ref="E29" si="1">E$22+E$23*D29</f>
        <v>-0.1342484220843396</v>
      </c>
      <c r="F29" s="81">
        <f>EXP(E29)</f>
        <v>0.87437282410132899</v>
      </c>
      <c r="G29" s="94">
        <f>(1-F29)*100</f>
        <v>12.5627175898671</v>
      </c>
    </row>
    <row r="30" spans="1:7" ht="14.45" customHeight="1" x14ac:dyDescent="0.25">
      <c r="B30" s="82">
        <v>1</v>
      </c>
      <c r="C30" s="82">
        <f>B30*24</f>
        <v>24</v>
      </c>
      <c r="D30" s="81">
        <f>LOG10(C30)</f>
        <v>1.3802112417116059</v>
      </c>
      <c r="E30" s="81">
        <f t="shared" ref="E30:E35" si="2">E$22+E$23*D30</f>
        <v>-0.21350961994266579</v>
      </c>
      <c r="F30" s="81">
        <f>EXP(E30)</f>
        <v>0.80774438965846984</v>
      </c>
      <c r="G30" s="94">
        <f>(1-F30)*100</f>
        <v>19.225561034153017</v>
      </c>
    </row>
    <row r="31" spans="1:7" ht="14.45" customHeight="1" x14ac:dyDescent="0.25">
      <c r="A31" s="83" t="s">
        <v>190</v>
      </c>
      <c r="B31" s="82"/>
      <c r="C31" s="83">
        <v>100</v>
      </c>
      <c r="D31" s="84">
        <f t="shared" ref="D31" si="3">LOG10(C31)</f>
        <v>2</v>
      </c>
      <c r="E31" s="142">
        <f>E$22+E$23*D31</f>
        <v>-0.37669999999999992</v>
      </c>
      <c r="F31" s="84">
        <f>EXP(E31)</f>
        <v>0.68612187958749915</v>
      </c>
      <c r="G31" s="95">
        <f t="shared" ref="G31" si="4">(1-F31)*100</f>
        <v>31.387812041250086</v>
      </c>
    </row>
    <row r="32" spans="1:7" ht="14.45" customHeight="1" x14ac:dyDescent="0.25">
      <c r="B32" s="55">
        <v>5</v>
      </c>
      <c r="C32" s="55">
        <f t="shared" ref="C32:C35" si="5">B32*24</f>
        <v>120</v>
      </c>
      <c r="D32" s="81">
        <f>LOG10(C32)</f>
        <v>2.0791812460476247</v>
      </c>
      <c r="E32" s="81">
        <f t="shared" si="2"/>
        <v>-0.39754842208433949</v>
      </c>
      <c r="F32" s="81">
        <f t="shared" ref="F32:F35" si="6">EXP(E32)</f>
        <v>0.67196540389433757</v>
      </c>
      <c r="G32" s="94">
        <f t="shared" ref="G32:G35" si="7">(1-F32)*100</f>
        <v>32.803459610566243</v>
      </c>
    </row>
    <row r="33" spans="1:7" ht="14.45" customHeight="1" x14ac:dyDescent="0.25">
      <c r="B33" s="83">
        <v>10</v>
      </c>
      <c r="C33" s="83">
        <f t="shared" si="5"/>
        <v>240</v>
      </c>
      <c r="D33" s="84">
        <f t="shared" ref="D33:D35" si="8">LOG10(C33)</f>
        <v>2.3802112417116059</v>
      </c>
      <c r="E33" s="84">
        <f t="shared" si="2"/>
        <v>-0.4768096199426658</v>
      </c>
      <c r="F33" s="84">
        <f t="shared" si="6"/>
        <v>0.62076069850192173</v>
      </c>
      <c r="G33" s="95">
        <f t="shared" si="7"/>
        <v>37.923930149807831</v>
      </c>
    </row>
    <row r="34" spans="1:7" ht="14.45" customHeight="1" x14ac:dyDescent="0.25">
      <c r="B34" s="55">
        <v>15</v>
      </c>
      <c r="C34" s="55">
        <f t="shared" si="5"/>
        <v>360</v>
      </c>
      <c r="D34" s="81">
        <f t="shared" si="8"/>
        <v>2.5563025007672873</v>
      </c>
      <c r="E34" s="81">
        <f t="shared" si="2"/>
        <v>-0.52317444845202665</v>
      </c>
      <c r="F34" s="81">
        <f t="shared" si="6"/>
        <v>0.59263626549812587</v>
      </c>
      <c r="G34" s="94">
        <f t="shared" si="7"/>
        <v>40.736373450187415</v>
      </c>
    </row>
    <row r="35" spans="1:7" ht="14.45" customHeight="1" x14ac:dyDescent="0.25">
      <c r="B35" s="55">
        <v>20</v>
      </c>
      <c r="C35" s="55">
        <f t="shared" si="5"/>
        <v>480</v>
      </c>
      <c r="D35" s="81">
        <f t="shared" si="8"/>
        <v>2.6812412373755872</v>
      </c>
      <c r="E35" s="81">
        <f t="shared" si="2"/>
        <v>-0.55607081780099199</v>
      </c>
      <c r="F35" s="81">
        <f t="shared" si="6"/>
        <v>0.57345786341284122</v>
      </c>
      <c r="G35" s="94">
        <f t="shared" si="7"/>
        <v>42.654213658715875</v>
      </c>
    </row>
    <row r="36" spans="1:7" ht="14.45" customHeight="1" x14ac:dyDescent="0.25">
      <c r="C36" s="56"/>
      <c r="D36" s="56"/>
      <c r="E36" s="56"/>
    </row>
    <row r="37" spans="1:7" ht="14.45" customHeight="1" x14ac:dyDescent="0.25">
      <c r="C37" s="82" t="s">
        <v>105</v>
      </c>
      <c r="E37" s="55"/>
      <c r="F37" s="57"/>
    </row>
    <row r="38" spans="1:7" ht="14.45" customHeight="1" x14ac:dyDescent="0.25">
      <c r="A38" s="82" t="s">
        <v>197</v>
      </c>
      <c r="B38" s="82" t="s">
        <v>95</v>
      </c>
      <c r="C38" s="82" t="s">
        <v>149</v>
      </c>
      <c r="E38" s="55"/>
      <c r="F38" s="57" t="s">
        <v>96</v>
      </c>
      <c r="G38" s="56" t="s">
        <v>148</v>
      </c>
    </row>
    <row r="39" spans="1:7" ht="14.45" customHeight="1" x14ac:dyDescent="0.25">
      <c r="A39" s="55" t="s">
        <v>68</v>
      </c>
      <c r="B39" s="55">
        <v>21.3</v>
      </c>
      <c r="C39" s="55">
        <f>24*B39</f>
        <v>511.20000000000005</v>
      </c>
      <c r="D39" s="81">
        <f>LOG10(C39)</f>
        <v>2.708590845150344</v>
      </c>
      <c r="E39" s="81">
        <f>E$22+E$23*D39</f>
        <v>-0.56327196952808545</v>
      </c>
      <c r="F39" s="81">
        <f>EXP(E39)</f>
        <v>0.56934313948624504</v>
      </c>
      <c r="G39" s="60">
        <v>0.56999999999999995</v>
      </c>
    </row>
    <row r="40" spans="1:7" ht="14.45" customHeight="1" x14ac:dyDescent="0.25">
      <c r="A40" s="55" t="s">
        <v>84</v>
      </c>
      <c r="B40" s="55">
        <v>7.87</v>
      </c>
      <c r="C40" s="55">
        <f>24*B40</f>
        <v>188.88</v>
      </c>
      <c r="D40" s="81">
        <f t="shared" ref="D39:D46" si="9">LOG10(C40)</f>
        <v>2.2761859740706707</v>
      </c>
      <c r="E40" s="81">
        <f t="shared" ref="E40:E46" si="10">E$22+E$23*D40</f>
        <v>-0.4494197669728075</v>
      </c>
      <c r="F40" s="145">
        <f t="shared" ref="F40:F46" si="11">EXP(E40)</f>
        <v>0.63799823189042637</v>
      </c>
      <c r="G40" s="146">
        <v>0.57999999999999996</v>
      </c>
    </row>
    <row r="41" spans="1:7" ht="14.45" customHeight="1" x14ac:dyDescent="0.25">
      <c r="A41" s="55" t="s">
        <v>34</v>
      </c>
      <c r="C41" s="55">
        <v>46.78</v>
      </c>
      <c r="D41" s="81">
        <f t="shared" si="9"/>
        <v>1.6700602174731343</v>
      </c>
      <c r="E41" s="81">
        <f t="shared" si="10"/>
        <v>-0.2898268552606762</v>
      </c>
      <c r="F41" s="81">
        <f t="shared" si="11"/>
        <v>0.74839313669570096</v>
      </c>
      <c r="G41" s="60">
        <v>0.78</v>
      </c>
    </row>
    <row r="42" spans="1:7" ht="14.45" customHeight="1" x14ac:dyDescent="0.25">
      <c r="A42" s="55" t="s">
        <v>30</v>
      </c>
      <c r="B42" s="55">
        <v>1.4</v>
      </c>
      <c r="C42" s="55">
        <f>24*B42</f>
        <v>33.599999999999994</v>
      </c>
      <c r="D42" s="81">
        <f t="shared" si="9"/>
        <v>1.5263392773898439</v>
      </c>
      <c r="E42" s="81">
        <f t="shared" si="10"/>
        <v>-0.25198513173674586</v>
      </c>
      <c r="F42" s="81">
        <f t="shared" si="11"/>
        <v>0.77725629443423594</v>
      </c>
      <c r="G42" s="60">
        <v>0.86</v>
      </c>
    </row>
    <row r="43" spans="1:7" ht="14.45" customHeight="1" x14ac:dyDescent="0.25">
      <c r="A43" s="55" t="s">
        <v>196</v>
      </c>
      <c r="C43" s="55">
        <v>22.9</v>
      </c>
      <c r="D43" s="81">
        <f t="shared" ref="D43" si="12">LOG10(C43)</f>
        <v>1.3598354823398879</v>
      </c>
      <c r="E43" s="81">
        <f t="shared" ref="E43" si="13">E$22+E$23*D43</f>
        <v>-0.20814468250009246</v>
      </c>
      <c r="F43" s="81">
        <f t="shared" ref="F43" si="14">EXP(E43)</f>
        <v>0.81208953306784026</v>
      </c>
      <c r="G43" s="60">
        <v>0.86</v>
      </c>
    </row>
    <row r="44" spans="1:7" ht="14.45" customHeight="1" x14ac:dyDescent="0.25">
      <c r="A44" s="55" t="s">
        <v>32</v>
      </c>
      <c r="C44" s="55">
        <v>15.41</v>
      </c>
      <c r="D44" s="81">
        <f t="shared" si="9"/>
        <v>1.1878026387184193</v>
      </c>
      <c r="E44" s="81">
        <f t="shared" si="10"/>
        <v>-0.16284843477455976</v>
      </c>
      <c r="F44" s="81">
        <f t="shared" si="11"/>
        <v>0.84971996665349925</v>
      </c>
      <c r="G44" s="60">
        <v>0.87</v>
      </c>
    </row>
    <row r="45" spans="1:7" ht="14.45" customHeight="1" x14ac:dyDescent="0.25">
      <c r="A45" s="55" t="s">
        <v>29</v>
      </c>
      <c r="C45" s="55">
        <v>6.68</v>
      </c>
      <c r="D45" s="81">
        <f>LOG10(C45)</f>
        <v>0.8247764624755457</v>
      </c>
      <c r="E45" s="81">
        <f>E$22+E$23*D45</f>
        <v>-6.7263642569811155E-2</v>
      </c>
      <c r="F45" s="81">
        <f>EXP(E45)</f>
        <v>0.93494867656926062</v>
      </c>
      <c r="G45" s="60">
        <v>1.1000000000000001</v>
      </c>
    </row>
    <row r="46" spans="1:7" ht="14.45" customHeight="1" x14ac:dyDescent="0.25">
      <c r="A46" s="55" t="s">
        <v>33</v>
      </c>
      <c r="C46" s="55">
        <v>1.99</v>
      </c>
      <c r="D46" s="81">
        <f t="shared" si="9"/>
        <v>0.29885307640970665</v>
      </c>
      <c r="E46" s="81">
        <f t="shared" si="10"/>
        <v>7.121198498132425E-2</v>
      </c>
      <c r="F46" s="81">
        <f t="shared" si="11"/>
        <v>1.0738088330882769</v>
      </c>
      <c r="G46" s="60">
        <v>1.03</v>
      </c>
    </row>
    <row r="48" spans="1:7" ht="14.45" customHeight="1" x14ac:dyDescent="0.25">
      <c r="A48" s="55" t="s">
        <v>134</v>
      </c>
      <c r="C48" s="55">
        <v>14.14</v>
      </c>
      <c r="D48" s="81">
        <f t="shared" ref="D48" si="15">LOG10(C48)</f>
        <v>1.1504494094608806</v>
      </c>
      <c r="E48" s="81">
        <f t="shared" ref="E48" si="16">E$22+E$23*D48</f>
        <v>-0.15301332951104982</v>
      </c>
      <c r="F48" s="81">
        <f t="shared" ref="F48" si="17">EXP(E48)</f>
        <v>0.85811828343801888</v>
      </c>
      <c r="G48" s="60">
        <v>0.83699999999999997</v>
      </c>
    </row>
    <row r="49" spans="1:19" ht="14.45" customHeight="1" x14ac:dyDescent="0.25">
      <c r="D49" s="81"/>
      <c r="E49" s="81"/>
      <c r="F49" s="81"/>
      <c r="G49" s="60"/>
    </row>
    <row r="50" spans="1:19" ht="14.45" customHeight="1" x14ac:dyDescent="0.25">
      <c r="B50" s="56"/>
      <c r="D50" s="81"/>
      <c r="E50" s="81"/>
      <c r="F50" s="81"/>
      <c r="G50" s="60"/>
    </row>
    <row r="51" spans="1:19" ht="14.45" customHeight="1" x14ac:dyDescent="0.25">
      <c r="D51" s="81"/>
      <c r="E51" s="81"/>
      <c r="F51" s="81"/>
      <c r="G51" s="60"/>
    </row>
    <row r="52" spans="1:19" ht="14.45" customHeight="1" x14ac:dyDescent="0.25">
      <c r="A52" s="147" t="s">
        <v>198</v>
      </c>
      <c r="D52" s="81"/>
      <c r="E52" s="81"/>
      <c r="F52" s="81"/>
      <c r="G52" s="60"/>
      <c r="H52" s="82"/>
      <c r="I52" s="82"/>
      <c r="J52" s="55"/>
      <c r="K52" s="55"/>
      <c r="L52" s="82"/>
      <c r="M52" s="55"/>
      <c r="N52" s="55"/>
      <c r="O52" s="55"/>
      <c r="P52" s="128"/>
      <c r="Q52" s="55"/>
      <c r="R52" s="55"/>
      <c r="S52" s="55"/>
    </row>
    <row r="53" spans="1:19" ht="14.45" customHeight="1" x14ac:dyDescent="0.25">
      <c r="D53" s="81"/>
      <c r="E53" s="81"/>
      <c r="F53" s="57" t="s">
        <v>96</v>
      </c>
      <c r="G53" s="60" t="s">
        <v>195</v>
      </c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</row>
    <row r="54" spans="1:19" ht="14.45" customHeight="1" x14ac:dyDescent="0.25">
      <c r="B54" s="55" t="s">
        <v>150</v>
      </c>
      <c r="D54" s="81"/>
      <c r="E54" s="81"/>
      <c r="F54" s="81"/>
      <c r="G54" s="60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</row>
    <row r="55" spans="1:19" ht="14.45" customHeight="1" x14ac:dyDescent="0.25">
      <c r="A55" s="55" t="s">
        <v>153</v>
      </c>
      <c r="B55" s="55">
        <v>4.5999999999999996</v>
      </c>
      <c r="C55" s="55">
        <f>B55*24</f>
        <v>110.39999999999999</v>
      </c>
      <c r="D55" s="81">
        <f t="shared" ref="D55:D57" si="18">LOG10(C55)</f>
        <v>2.0429690733931802</v>
      </c>
      <c r="E55" s="81">
        <f>E$22+E$23*D55</f>
        <v>-0.38801375702442431</v>
      </c>
      <c r="F55" s="81">
        <f>EXP(E55)</f>
        <v>0.67840301039312445</v>
      </c>
      <c r="G55" s="60">
        <f>100*(1-F55)</f>
        <v>32.159698960687557</v>
      </c>
      <c r="H55" s="126"/>
      <c r="I55" s="55"/>
      <c r="J55" s="55"/>
      <c r="K55" s="55"/>
      <c r="L55" s="126"/>
      <c r="M55" s="126"/>
      <c r="N55" s="126"/>
      <c r="O55" s="55"/>
      <c r="P55" s="55"/>
      <c r="Q55" s="55"/>
      <c r="R55" s="55"/>
      <c r="S55" s="55"/>
    </row>
    <row r="56" spans="1:19" ht="14.45" customHeight="1" x14ac:dyDescent="0.25">
      <c r="A56" s="55" t="s">
        <v>152</v>
      </c>
      <c r="B56" s="55">
        <v>8.9</v>
      </c>
      <c r="C56" s="55">
        <f>B56*24</f>
        <v>213.60000000000002</v>
      </c>
      <c r="D56" s="81">
        <f t="shared" ref="D56" si="19">LOG10(C56)</f>
        <v>2.3296012483565187</v>
      </c>
      <c r="E56" s="81">
        <f t="shared" ref="E56" si="20">E$22+E$23*D56</f>
        <v>-0.46348400869227124</v>
      </c>
      <c r="F56" s="81">
        <f t="shared" ref="F56" si="21">EXP(E56)</f>
        <v>0.62908807471343298</v>
      </c>
      <c r="G56" s="60">
        <f t="shared" ref="G56:G57" si="22">100*(1-F56)</f>
        <v>37.091192528656705</v>
      </c>
      <c r="H56" s="126"/>
      <c r="I56" s="55"/>
      <c r="J56" s="81"/>
      <c r="K56" s="81"/>
      <c r="L56" s="126"/>
      <c r="M56" s="126"/>
      <c r="N56" s="126"/>
      <c r="O56" s="55"/>
      <c r="P56" s="81"/>
      <c r="Q56" s="81"/>
      <c r="R56" s="127"/>
      <c r="S56" s="55"/>
    </row>
    <row r="57" spans="1:19" ht="14.45" customHeight="1" x14ac:dyDescent="0.25">
      <c r="A57" s="55" t="s">
        <v>151</v>
      </c>
      <c r="B57" s="55">
        <v>19</v>
      </c>
      <c r="C57" s="55">
        <f>B57*24</f>
        <v>456</v>
      </c>
      <c r="D57" s="81">
        <f t="shared" si="18"/>
        <v>2.6589648426644348</v>
      </c>
      <c r="E57" s="81">
        <f t="shared" ref="E57" si="23">E$22+E$23*D57</f>
        <v>-0.55020544307354557</v>
      </c>
      <c r="F57" s="81">
        <f t="shared" ref="F57" si="24">EXP(E57)</f>
        <v>0.57683129221294571</v>
      </c>
      <c r="G57" s="60">
        <f t="shared" si="22"/>
        <v>42.316870778705429</v>
      </c>
      <c r="H57" s="126"/>
      <c r="I57" s="55"/>
      <c r="J57" s="81"/>
      <c r="K57" s="81"/>
      <c r="L57" s="126"/>
      <c r="M57" s="126"/>
      <c r="N57" s="126"/>
      <c r="O57" s="55"/>
      <c r="P57" s="81"/>
      <c r="Q57" s="81"/>
      <c r="R57" s="127"/>
      <c r="S57" s="55"/>
    </row>
    <row r="58" spans="1:19" ht="14.45" customHeight="1" x14ac:dyDescent="0.25">
      <c r="H58" s="55"/>
      <c r="I58" s="127"/>
      <c r="J58" s="55"/>
      <c r="K58" s="55"/>
      <c r="L58" s="55"/>
      <c r="M58" s="55"/>
      <c r="N58" s="55"/>
      <c r="O58" s="55"/>
      <c r="S58" s="55"/>
    </row>
    <row r="59" spans="1:19" ht="14.45" customHeight="1" x14ac:dyDescent="0.25">
      <c r="C59" s="55" t="s">
        <v>104</v>
      </c>
      <c r="M59" s="123"/>
      <c r="N59" s="123"/>
    </row>
    <row r="61" spans="1:19" ht="14.45" customHeight="1" x14ac:dyDescent="0.25">
      <c r="C61" s="55" t="s">
        <v>13</v>
      </c>
      <c r="D61" s="55" t="s">
        <v>98</v>
      </c>
      <c r="Q61" s="81"/>
    </row>
    <row r="62" spans="1:19" ht="14.45" customHeight="1" x14ac:dyDescent="0.25">
      <c r="Q62" s="55"/>
    </row>
    <row r="63" spans="1:19" ht="14.45" customHeight="1" x14ac:dyDescent="0.25">
      <c r="C63" s="125">
        <v>2.7182818284590402</v>
      </c>
      <c r="D63" s="124">
        <f>LN(C63)</f>
        <v>0.99999999999999811</v>
      </c>
    </row>
    <row r="65" spans="3:4" ht="14.45" customHeight="1" x14ac:dyDescent="0.25">
      <c r="C65" s="55">
        <v>1</v>
      </c>
      <c r="D65" s="55">
        <f>LN(C65)</f>
        <v>0</v>
      </c>
    </row>
    <row r="66" spans="3:4" ht="14.45" customHeight="1" x14ac:dyDescent="0.25">
      <c r="C66" s="55">
        <v>0.8</v>
      </c>
      <c r="D66" s="87">
        <f t="shared" ref="D66:D69" si="25">LN(C66)</f>
        <v>-0.22314355131420971</v>
      </c>
    </row>
    <row r="67" spans="3:4" ht="14.45" customHeight="1" x14ac:dyDescent="0.25">
      <c r="C67" s="55">
        <v>0.6</v>
      </c>
      <c r="D67" s="87">
        <f t="shared" si="25"/>
        <v>-0.51082562376599072</v>
      </c>
    </row>
    <row r="69" spans="3:4" ht="14.45" customHeight="1" x14ac:dyDescent="0.25">
      <c r="C69" s="55">
        <f>1/C63</f>
        <v>0.367879441171443</v>
      </c>
      <c r="D69" s="55">
        <f t="shared" si="25"/>
        <v>-0.99999999999999811</v>
      </c>
    </row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  <row r="65538" ht="12.75" customHeight="1" x14ac:dyDescent="0.25"/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scale="95" firstPageNumber="0" orientation="landscape" horizontalDpi="300" verticalDpi="300" r:id="rId1"/>
  <headerFooter alignWithMargins="0">
    <oddHeader>&amp;C&amp;"Arial,Normaali"&amp;10&amp;A</oddHeader>
    <oddFooter>&amp;C&amp;"Arial,Normaali"&amp;10Page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Cover</vt:lpstr>
      <vt:lpstr>Trial Characteristics</vt:lpstr>
      <vt:lpstr>Ventilation</vt:lpstr>
      <vt:lpstr>V2_toR</vt:lpstr>
      <vt:lpstr>CE</vt:lpstr>
      <vt:lpstr>P, reg-calcu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</dc:creator>
  <cp:lastModifiedBy>Harri</cp:lastModifiedBy>
  <dcterms:created xsi:type="dcterms:W3CDTF">2019-03-19T07:46:09Z</dcterms:created>
  <dcterms:modified xsi:type="dcterms:W3CDTF">2020-01-07T17:59:30Z</dcterms:modified>
</cp:coreProperties>
</file>