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iki_2021/Desktop/PEPS 特集号/論文 d13C/修正2回目/"/>
    </mc:Choice>
  </mc:AlternateContent>
  <xr:revisionPtr revIDLastSave="0" documentId="13_ncr:1_{5CE83549-47DE-3241-98C8-944F4B9FB2AC}" xr6:coauthVersionLast="47" xr6:coauthVersionMax="47" xr10:uidLastSave="{00000000-0000-0000-0000-000000000000}"/>
  <bookViews>
    <workbookView xWindow="140" yWindow="880" windowWidth="24680" windowHeight="12240" activeTab="2" xr2:uid="{29AD7431-94D6-BE40-8ACC-603F45E68652}"/>
  </bookViews>
  <sheets>
    <sheet name="S Table 1" sheetId="5" r:id="rId1"/>
    <sheet name="S Table 2" sheetId="2" r:id="rId2"/>
    <sheet name="S Table 3" sheetId="6" r:id="rId3"/>
  </sheets>
  <definedNames>
    <definedName name="_xlnm.Print_Area" localSheetId="0">'S Table 1'!$A$2:$P$83</definedName>
    <definedName name="_xlnm.Print_Area" localSheetId="1">'S Table 2'!$A$2:$P$15</definedName>
    <definedName name="_xlnm.Print_Area" localSheetId="2">'S Table 3'!$A$2:$P$23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2" i="6" l="1"/>
  <c r="O22" i="6"/>
  <c r="P21" i="6"/>
  <c r="O21" i="6"/>
  <c r="P20" i="6"/>
  <c r="O20" i="6"/>
  <c r="P19" i="6"/>
  <c r="O19" i="6"/>
  <c r="P18" i="6"/>
  <c r="O18" i="6"/>
  <c r="P17" i="6"/>
  <c r="O17" i="6"/>
  <c r="P16" i="6"/>
  <c r="O16" i="6"/>
  <c r="H22" i="6" l="1"/>
  <c r="G22" i="6"/>
  <c r="H21" i="6"/>
  <c r="G21" i="6"/>
  <c r="H20" i="6"/>
  <c r="G20" i="6"/>
  <c r="H19" i="6"/>
  <c r="G19" i="6"/>
  <c r="H18" i="6"/>
  <c r="G18" i="6"/>
  <c r="H17" i="6"/>
  <c r="G17" i="6"/>
  <c r="H16" i="6"/>
  <c r="G16" i="6"/>
  <c r="P13" i="6"/>
  <c r="P12" i="6"/>
  <c r="P11" i="6"/>
  <c r="P10" i="6"/>
  <c r="P9" i="6"/>
  <c r="P8" i="6"/>
  <c r="P7" i="6"/>
  <c r="O13" i="6" l="1"/>
  <c r="O12" i="6"/>
  <c r="O11" i="6"/>
  <c r="O10" i="6"/>
  <c r="O9" i="6"/>
  <c r="O8" i="6"/>
  <c r="O7" i="6"/>
  <c r="G81" i="5" l="1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F7" i="5"/>
  <c r="G7" i="5"/>
  <c r="F8" i="5"/>
  <c r="G8" i="5"/>
  <c r="F9" i="5"/>
  <c r="G9" i="5"/>
  <c r="F10" i="5"/>
  <c r="G10" i="5"/>
  <c r="F11" i="5"/>
  <c r="G11" i="5"/>
  <c r="F12" i="5"/>
  <c r="G12" i="5"/>
  <c r="F13" i="5"/>
  <c r="G13" i="5"/>
  <c r="F14" i="5"/>
  <c r="G14" i="5"/>
  <c r="F15" i="5"/>
  <c r="G15" i="5"/>
  <c r="G6" i="5"/>
  <c r="F6" i="5"/>
  <c r="M73" i="5"/>
  <c r="L73" i="5"/>
  <c r="K73" i="5"/>
  <c r="M62" i="5"/>
  <c r="L62" i="5"/>
  <c r="K62" i="5"/>
  <c r="M51" i="5"/>
  <c r="L51" i="5"/>
  <c r="K51" i="5"/>
  <c r="M40" i="5"/>
  <c r="L40" i="5"/>
  <c r="K40" i="5"/>
  <c r="M29" i="5"/>
  <c r="L29" i="5"/>
  <c r="K29" i="5"/>
  <c r="M18" i="5"/>
  <c r="L18" i="5"/>
  <c r="K18" i="5"/>
  <c r="M81" i="5"/>
  <c r="L81" i="5"/>
  <c r="M80" i="5"/>
  <c r="L80" i="5"/>
  <c r="M79" i="5"/>
  <c r="L79" i="5"/>
  <c r="M78" i="5"/>
  <c r="L78" i="5"/>
  <c r="M77" i="5"/>
  <c r="L77" i="5"/>
  <c r="M76" i="5"/>
  <c r="L76" i="5"/>
  <c r="M75" i="5"/>
  <c r="L75" i="5"/>
  <c r="M74" i="5"/>
  <c r="L74" i="5"/>
  <c r="M72" i="5"/>
  <c r="L72" i="5"/>
  <c r="M70" i="5"/>
  <c r="L70" i="5"/>
  <c r="M69" i="5"/>
  <c r="L69" i="5"/>
  <c r="M68" i="5"/>
  <c r="L68" i="5"/>
  <c r="M67" i="5"/>
  <c r="L67" i="5"/>
  <c r="M66" i="5"/>
  <c r="L66" i="5"/>
  <c r="M65" i="5"/>
  <c r="L65" i="5"/>
  <c r="M64" i="5"/>
  <c r="L64" i="5"/>
  <c r="M63" i="5"/>
  <c r="L63" i="5"/>
  <c r="M61" i="5"/>
  <c r="L61" i="5"/>
  <c r="M59" i="5"/>
  <c r="L59" i="5"/>
  <c r="M58" i="5"/>
  <c r="L58" i="5"/>
  <c r="M57" i="5"/>
  <c r="L57" i="5"/>
  <c r="M56" i="5"/>
  <c r="L56" i="5"/>
  <c r="M55" i="5"/>
  <c r="L55" i="5"/>
  <c r="M54" i="5"/>
  <c r="L54" i="5"/>
  <c r="M53" i="5"/>
  <c r="L53" i="5"/>
  <c r="M52" i="5"/>
  <c r="L52" i="5"/>
  <c r="M50" i="5"/>
  <c r="L50" i="5"/>
  <c r="M48" i="5"/>
  <c r="L48" i="5"/>
  <c r="M47" i="5"/>
  <c r="L47" i="5"/>
  <c r="M46" i="5"/>
  <c r="L46" i="5"/>
  <c r="M45" i="5"/>
  <c r="L45" i="5"/>
  <c r="M44" i="5"/>
  <c r="L44" i="5"/>
  <c r="M43" i="5"/>
  <c r="L43" i="5"/>
  <c r="M42" i="5"/>
  <c r="L42" i="5"/>
  <c r="M41" i="5"/>
  <c r="L41" i="5"/>
  <c r="M39" i="5"/>
  <c r="L39" i="5"/>
  <c r="M37" i="5"/>
  <c r="L37" i="5"/>
  <c r="M36" i="5"/>
  <c r="L36" i="5"/>
  <c r="M35" i="5"/>
  <c r="L35" i="5"/>
  <c r="M34" i="5"/>
  <c r="L34" i="5"/>
  <c r="M33" i="5"/>
  <c r="L33" i="5"/>
  <c r="M32" i="5"/>
  <c r="L32" i="5"/>
  <c r="M31" i="5"/>
  <c r="L31" i="5"/>
  <c r="M30" i="5"/>
  <c r="L30" i="5"/>
  <c r="M28" i="5"/>
  <c r="L28" i="5"/>
  <c r="M26" i="5"/>
  <c r="L26" i="5"/>
  <c r="M25" i="5"/>
  <c r="L25" i="5"/>
  <c r="M24" i="5"/>
  <c r="L24" i="5"/>
  <c r="M23" i="5"/>
  <c r="L23" i="5"/>
  <c r="M22" i="5"/>
  <c r="L22" i="5"/>
  <c r="M21" i="5"/>
  <c r="L21" i="5"/>
  <c r="M20" i="5"/>
  <c r="L20" i="5"/>
  <c r="M19" i="5"/>
  <c r="L19" i="5"/>
  <c r="M17" i="5"/>
  <c r="L17" i="5"/>
  <c r="K81" i="5"/>
  <c r="K80" i="5"/>
  <c r="K79" i="5"/>
  <c r="K78" i="5"/>
  <c r="K77" i="5"/>
  <c r="K76" i="5"/>
  <c r="K75" i="5"/>
  <c r="K74" i="5"/>
  <c r="K72" i="5"/>
  <c r="K70" i="5"/>
  <c r="K69" i="5"/>
  <c r="K68" i="5"/>
  <c r="K67" i="5"/>
  <c r="K66" i="5"/>
  <c r="K65" i="5"/>
  <c r="K64" i="5"/>
  <c r="K63" i="5"/>
  <c r="K61" i="5"/>
  <c r="K59" i="5"/>
  <c r="K58" i="5"/>
  <c r="K57" i="5"/>
  <c r="K56" i="5"/>
  <c r="K55" i="5"/>
  <c r="K54" i="5"/>
  <c r="K53" i="5"/>
  <c r="K52" i="5"/>
  <c r="K50" i="5"/>
  <c r="K48" i="5"/>
  <c r="K47" i="5"/>
  <c r="K46" i="5"/>
  <c r="K45" i="5"/>
  <c r="K44" i="5"/>
  <c r="K43" i="5"/>
  <c r="K42" i="5"/>
  <c r="K41" i="5"/>
  <c r="K39" i="5"/>
  <c r="K37" i="5"/>
  <c r="K36" i="5"/>
  <c r="K35" i="5"/>
  <c r="K34" i="5"/>
  <c r="K33" i="5"/>
  <c r="K32" i="5"/>
  <c r="K31" i="5"/>
  <c r="K30" i="5"/>
  <c r="K28" i="5"/>
  <c r="K26" i="5"/>
  <c r="K25" i="5"/>
  <c r="K24" i="5"/>
  <c r="K23" i="5"/>
  <c r="K22" i="5"/>
  <c r="K21" i="5"/>
  <c r="K20" i="5"/>
  <c r="K19" i="5"/>
  <c r="K17" i="5"/>
  <c r="K15" i="5"/>
  <c r="K14" i="5"/>
  <c r="K13" i="5"/>
  <c r="K12" i="5"/>
  <c r="K11" i="5"/>
  <c r="K10" i="5"/>
  <c r="K9" i="5"/>
  <c r="K8" i="5"/>
  <c r="K7" i="5"/>
  <c r="K6" i="5"/>
  <c r="M15" i="5"/>
  <c r="L15" i="5"/>
  <c r="M14" i="5"/>
  <c r="L14" i="5"/>
  <c r="M13" i="5"/>
  <c r="L13" i="5"/>
  <c r="M12" i="5"/>
  <c r="L12" i="5"/>
  <c r="M11" i="5"/>
  <c r="L11" i="5"/>
  <c r="M10" i="5"/>
  <c r="L10" i="5"/>
  <c r="M9" i="5"/>
  <c r="L9" i="5"/>
  <c r="M8" i="5"/>
  <c r="L8" i="5"/>
  <c r="M7" i="5"/>
  <c r="L7" i="5"/>
  <c r="M6" i="5"/>
  <c r="L6" i="5"/>
  <c r="O81" i="5" l="1"/>
  <c r="N81" i="5"/>
  <c r="P81" i="5" s="1"/>
  <c r="O80" i="5"/>
  <c r="N80" i="5"/>
  <c r="P80" i="5" s="1"/>
  <c r="O79" i="5"/>
  <c r="N79" i="5"/>
  <c r="P79" i="5" s="1"/>
  <c r="O78" i="5"/>
  <c r="N78" i="5"/>
  <c r="P78" i="5" s="1"/>
  <c r="O77" i="5"/>
  <c r="N77" i="5"/>
  <c r="P77" i="5" s="1"/>
  <c r="O76" i="5"/>
  <c r="N76" i="5"/>
  <c r="P76" i="5" s="1"/>
  <c r="O75" i="5"/>
  <c r="N75" i="5"/>
  <c r="P75" i="5" s="1"/>
  <c r="O74" i="5"/>
  <c r="N74" i="5"/>
  <c r="P74" i="5" s="1"/>
  <c r="O73" i="5"/>
  <c r="N73" i="5"/>
  <c r="P73" i="5" s="1"/>
  <c r="O72" i="5"/>
  <c r="N72" i="5"/>
  <c r="P72" i="5" s="1"/>
  <c r="O70" i="5"/>
  <c r="N70" i="5"/>
  <c r="P70" i="5" s="1"/>
  <c r="O69" i="5"/>
  <c r="N69" i="5"/>
  <c r="P69" i="5" s="1"/>
  <c r="O68" i="5"/>
  <c r="N68" i="5"/>
  <c r="P68" i="5" s="1"/>
  <c r="O67" i="5"/>
  <c r="N67" i="5"/>
  <c r="P67" i="5" s="1"/>
  <c r="O66" i="5"/>
  <c r="N66" i="5"/>
  <c r="P66" i="5" s="1"/>
  <c r="O65" i="5"/>
  <c r="N65" i="5"/>
  <c r="P65" i="5" s="1"/>
  <c r="O64" i="5"/>
  <c r="N64" i="5"/>
  <c r="P64" i="5" s="1"/>
  <c r="O63" i="5"/>
  <c r="N63" i="5"/>
  <c r="P63" i="5" s="1"/>
  <c r="O62" i="5"/>
  <c r="N62" i="5"/>
  <c r="P62" i="5" s="1"/>
  <c r="O61" i="5"/>
  <c r="N61" i="5"/>
  <c r="P61" i="5" s="1"/>
  <c r="O59" i="5"/>
  <c r="N59" i="5"/>
  <c r="P59" i="5" s="1"/>
  <c r="O58" i="5"/>
  <c r="N58" i="5"/>
  <c r="P58" i="5" s="1"/>
  <c r="O57" i="5"/>
  <c r="N57" i="5"/>
  <c r="P57" i="5" s="1"/>
  <c r="O56" i="5"/>
  <c r="N56" i="5"/>
  <c r="P56" i="5" s="1"/>
  <c r="O55" i="5"/>
  <c r="N55" i="5"/>
  <c r="P55" i="5" s="1"/>
  <c r="O54" i="5"/>
  <c r="N54" i="5"/>
  <c r="P54" i="5" s="1"/>
  <c r="O53" i="5"/>
  <c r="N53" i="5"/>
  <c r="P53" i="5" s="1"/>
  <c r="O52" i="5"/>
  <c r="N52" i="5"/>
  <c r="P52" i="5" s="1"/>
  <c r="O51" i="5"/>
  <c r="N51" i="5"/>
  <c r="P51" i="5" s="1"/>
  <c r="O50" i="5"/>
  <c r="N50" i="5"/>
  <c r="P50" i="5" s="1"/>
  <c r="O48" i="5"/>
  <c r="N48" i="5"/>
  <c r="P48" i="5" s="1"/>
  <c r="O47" i="5"/>
  <c r="N47" i="5"/>
  <c r="P47" i="5" s="1"/>
  <c r="O46" i="5"/>
  <c r="N46" i="5"/>
  <c r="P46" i="5" s="1"/>
  <c r="O45" i="5"/>
  <c r="N45" i="5"/>
  <c r="P45" i="5" s="1"/>
  <c r="O44" i="5"/>
  <c r="N44" i="5"/>
  <c r="P44" i="5" s="1"/>
  <c r="O43" i="5"/>
  <c r="N43" i="5"/>
  <c r="P43" i="5" s="1"/>
  <c r="O42" i="5"/>
  <c r="N42" i="5"/>
  <c r="P42" i="5" s="1"/>
  <c r="O41" i="5"/>
  <c r="N41" i="5"/>
  <c r="P41" i="5" s="1"/>
  <c r="O40" i="5"/>
  <c r="N40" i="5"/>
  <c r="P40" i="5" s="1"/>
  <c r="O39" i="5"/>
  <c r="N39" i="5"/>
  <c r="P39" i="5" s="1"/>
  <c r="O37" i="5"/>
  <c r="N37" i="5"/>
  <c r="P37" i="5" s="1"/>
  <c r="O36" i="5"/>
  <c r="N36" i="5"/>
  <c r="P36" i="5" s="1"/>
  <c r="O35" i="5"/>
  <c r="N35" i="5"/>
  <c r="P35" i="5" s="1"/>
  <c r="O34" i="5"/>
  <c r="N34" i="5"/>
  <c r="P34" i="5" s="1"/>
  <c r="O33" i="5"/>
  <c r="N33" i="5"/>
  <c r="P33" i="5" s="1"/>
  <c r="O32" i="5"/>
  <c r="N32" i="5"/>
  <c r="P32" i="5" s="1"/>
  <c r="O31" i="5"/>
  <c r="N31" i="5"/>
  <c r="P31" i="5" s="1"/>
  <c r="O30" i="5"/>
  <c r="N30" i="5"/>
  <c r="P30" i="5" s="1"/>
  <c r="O29" i="5"/>
  <c r="N29" i="5"/>
  <c r="P29" i="5" s="1"/>
  <c r="O28" i="5"/>
  <c r="N28" i="5"/>
  <c r="P28" i="5" s="1"/>
  <c r="O26" i="5"/>
  <c r="N26" i="5"/>
  <c r="P26" i="5" s="1"/>
  <c r="O25" i="5"/>
  <c r="N25" i="5"/>
  <c r="P25" i="5" s="1"/>
  <c r="O24" i="5"/>
  <c r="N24" i="5"/>
  <c r="P24" i="5" s="1"/>
  <c r="O23" i="5"/>
  <c r="N23" i="5"/>
  <c r="P23" i="5" s="1"/>
  <c r="O22" i="5"/>
  <c r="N22" i="5"/>
  <c r="P22" i="5" s="1"/>
  <c r="O21" i="5"/>
  <c r="N21" i="5"/>
  <c r="P21" i="5" s="1"/>
  <c r="O20" i="5"/>
  <c r="N20" i="5"/>
  <c r="P20" i="5" s="1"/>
  <c r="O19" i="5"/>
  <c r="N19" i="5"/>
  <c r="P19" i="5" s="1"/>
  <c r="O18" i="5"/>
  <c r="N18" i="5"/>
  <c r="P18" i="5" s="1"/>
  <c r="O17" i="5"/>
  <c r="N17" i="5"/>
  <c r="P17" i="5" s="1"/>
  <c r="O12" i="5"/>
  <c r="O10" i="5"/>
  <c r="O9" i="5"/>
  <c r="N7" i="5"/>
  <c r="P7" i="5" s="1"/>
  <c r="P14" i="2"/>
  <c r="P13" i="2"/>
  <c r="P12" i="2"/>
  <c r="P11" i="2"/>
  <c r="P10" i="2"/>
  <c r="P9" i="2"/>
  <c r="P8" i="2"/>
  <c r="P7" i="2"/>
  <c r="P6" i="2"/>
  <c r="P5" i="2"/>
  <c r="M14" i="2"/>
  <c r="L14" i="2"/>
  <c r="K14" i="2"/>
  <c r="J14" i="2"/>
  <c r="I14" i="2"/>
  <c r="M13" i="2"/>
  <c r="L13" i="2"/>
  <c r="K13" i="2"/>
  <c r="J13" i="2"/>
  <c r="I13" i="2"/>
  <c r="M12" i="2"/>
  <c r="L12" i="2"/>
  <c r="K12" i="2"/>
  <c r="J12" i="2"/>
  <c r="I12" i="2"/>
  <c r="M11" i="2"/>
  <c r="L11" i="2"/>
  <c r="K11" i="2"/>
  <c r="J11" i="2"/>
  <c r="I11" i="2"/>
  <c r="M10" i="2"/>
  <c r="L10" i="2"/>
  <c r="K10" i="2"/>
  <c r="J10" i="2"/>
  <c r="I10" i="2"/>
  <c r="M9" i="2"/>
  <c r="L9" i="2"/>
  <c r="K9" i="2"/>
  <c r="J9" i="2"/>
  <c r="I9" i="2"/>
  <c r="M8" i="2"/>
  <c r="L8" i="2"/>
  <c r="K8" i="2"/>
  <c r="J8" i="2"/>
  <c r="I8" i="2"/>
  <c r="M7" i="2"/>
  <c r="L7" i="2"/>
  <c r="K7" i="2"/>
  <c r="J7" i="2"/>
  <c r="I7" i="2"/>
  <c r="M6" i="2"/>
  <c r="L6" i="2"/>
  <c r="K6" i="2"/>
  <c r="J6" i="2"/>
  <c r="I6" i="2"/>
  <c r="M5" i="2"/>
  <c r="L5" i="2"/>
  <c r="K5" i="2"/>
  <c r="J5" i="2"/>
  <c r="I5" i="2"/>
  <c r="O15" i="5" l="1"/>
  <c r="O8" i="5"/>
  <c r="O14" i="5"/>
  <c r="N13" i="5"/>
  <c r="P13" i="5" s="1"/>
  <c r="O11" i="5"/>
  <c r="O6" i="5"/>
  <c r="N11" i="5"/>
  <c r="P11" i="5" s="1"/>
  <c r="N10" i="5"/>
  <c r="P10" i="5" s="1"/>
  <c r="N8" i="5"/>
  <c r="P8" i="5" s="1"/>
  <c r="O13" i="5"/>
  <c r="N6" i="5"/>
  <c r="P6" i="5" s="1"/>
  <c r="N9" i="5"/>
  <c r="P9" i="5" s="1"/>
  <c r="N12" i="5"/>
  <c r="P12" i="5" s="1"/>
  <c r="N15" i="5"/>
  <c r="P15" i="5" s="1"/>
  <c r="N14" i="5"/>
  <c r="P14" i="5" s="1"/>
  <c r="O7" i="5"/>
  <c r="N14" i="2" l="1"/>
  <c r="O12" i="2"/>
  <c r="N9" i="2"/>
  <c r="O7" i="2"/>
  <c r="O6" i="2"/>
  <c r="O11" i="2" l="1"/>
  <c r="N13" i="2"/>
  <c r="N5" i="2"/>
  <c r="N10" i="2"/>
  <c r="N8" i="2"/>
  <c r="N11" i="2"/>
  <c r="N12" i="2"/>
  <c r="N7" i="2"/>
  <c r="O14" i="2"/>
  <c r="N6" i="2"/>
  <c r="O9" i="2"/>
  <c r="O10" i="2"/>
  <c r="O8" i="2"/>
  <c r="O5" i="2"/>
  <c r="O13" i="2"/>
</calcChain>
</file>

<file path=xl/sharedStrings.xml><?xml version="1.0" encoding="utf-8"?>
<sst xmlns="http://schemas.openxmlformats.org/spreadsheetml/2006/main" count="188" uniqueCount="52">
  <si>
    <t>Ala</t>
    <phoneticPr fontId="6"/>
  </si>
  <si>
    <t>Gly</t>
    <phoneticPr fontId="6"/>
  </si>
  <si>
    <t>Val</t>
    <phoneticPr fontId="6"/>
  </si>
  <si>
    <t>Leu</t>
    <phoneticPr fontId="6"/>
  </si>
  <si>
    <t>Nle</t>
    <phoneticPr fontId="3"/>
  </si>
  <si>
    <t>Asp</t>
    <phoneticPr fontId="6"/>
  </si>
  <si>
    <t>Met</t>
    <phoneticPr fontId="6"/>
  </si>
  <si>
    <t>Glu</t>
    <phoneticPr fontId="6"/>
  </si>
  <si>
    <t>Phe</t>
    <phoneticPr fontId="3"/>
  </si>
  <si>
    <t>1st</t>
    <phoneticPr fontId="6"/>
  </si>
  <si>
    <t>2nd</t>
    <phoneticPr fontId="6"/>
  </si>
  <si>
    <t>3rd</t>
    <phoneticPr fontId="6"/>
  </si>
  <si>
    <t>Known</t>
    <phoneticPr fontId="6"/>
  </si>
  <si>
    <t>Δ*</t>
    <phoneticPr fontId="6"/>
  </si>
  <si>
    <t>Mean</t>
    <phoneticPr fontId="1"/>
  </si>
  <si>
    <r>
      <t>δ</t>
    </r>
    <r>
      <rPr>
        <vertAlign val="superscript"/>
        <sz val="12"/>
        <color theme="1"/>
        <rFont val="Times New Roman"/>
        <family val="1"/>
      </rPr>
      <t>15</t>
    </r>
    <r>
      <rPr>
        <sz val="12"/>
        <color theme="1"/>
        <rFont val="Times New Roman"/>
        <family val="1"/>
      </rPr>
      <t>N (‰, vs referene N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gas) of Pv/OiPr derivative</t>
    </r>
    <phoneticPr fontId="1"/>
  </si>
  <si>
    <r>
      <t>δ</t>
    </r>
    <r>
      <rPr>
        <vertAlign val="superscript"/>
        <sz val="12"/>
        <color theme="1"/>
        <rFont val="Times New Roman"/>
        <family val="1"/>
      </rPr>
      <t>15</t>
    </r>
    <r>
      <rPr>
        <sz val="12"/>
        <color theme="1"/>
        <rFont val="Times New Roman"/>
        <family val="1"/>
      </rPr>
      <t>N (‰, vs Air) of amino acids</t>
    </r>
    <phoneticPr fontId="1"/>
  </si>
  <si>
    <r>
      <t>δ</t>
    </r>
    <r>
      <rPr>
        <vertAlign val="superscript"/>
        <sz val="12"/>
        <color theme="1"/>
        <rFont val="Times New Roman"/>
        <family val="1"/>
      </rPr>
      <t>13</t>
    </r>
    <r>
      <rPr>
        <sz val="12"/>
        <color theme="1"/>
        <rFont val="Times New Roman"/>
        <family val="1"/>
      </rPr>
      <t>C (‰, vs VPDB) of amino acids</t>
    </r>
    <phoneticPr fontId="1"/>
  </si>
  <si>
    <t>Acylation for 1 hour</t>
    <phoneticPr fontId="1"/>
  </si>
  <si>
    <t>Acylation for 2 hour</t>
    <phoneticPr fontId="1"/>
  </si>
  <si>
    <t>Acylation for 4 hour</t>
    <phoneticPr fontId="1"/>
  </si>
  <si>
    <t>Acylation for 6 hour</t>
    <phoneticPr fontId="1"/>
  </si>
  <si>
    <t>Acylation for 8 hour</t>
    <phoneticPr fontId="1"/>
  </si>
  <si>
    <t>Acylation for 10 hour</t>
    <phoneticPr fontId="1"/>
  </si>
  <si>
    <t>Acylation for 12 hour</t>
    <phoneticPr fontId="1"/>
  </si>
  <si>
    <r>
      <t>δ</t>
    </r>
    <r>
      <rPr>
        <vertAlign val="superscript"/>
        <sz val="12"/>
        <color theme="1"/>
        <rFont val="Times New Roman"/>
        <family val="1"/>
      </rPr>
      <t>13</t>
    </r>
    <r>
      <rPr>
        <sz val="12"/>
        <color theme="1"/>
        <rFont val="Times New Roman"/>
        <family val="1"/>
      </rPr>
      <t>C (‰, vs referene CO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gas) of Pv/OiPr derivative</t>
    </r>
    <phoneticPr fontId="1"/>
  </si>
  <si>
    <r>
      <t>δ</t>
    </r>
    <r>
      <rPr>
        <vertAlign val="superscript"/>
        <sz val="12"/>
        <color theme="1"/>
        <rFont val="Times New Roman"/>
        <family val="1"/>
      </rPr>
      <t>13</t>
    </r>
    <r>
      <rPr>
        <sz val="12"/>
        <color theme="1"/>
        <rFont val="Times New Roman"/>
        <family val="1"/>
      </rPr>
      <t>C</t>
    </r>
    <r>
      <rPr>
        <vertAlign val="subscript"/>
        <sz val="13"/>
        <color theme="1"/>
        <rFont val="Times New Roman"/>
        <family val="1"/>
      </rPr>
      <t>OiPr</t>
    </r>
    <r>
      <rPr>
        <sz val="12"/>
        <color theme="1"/>
        <rFont val="Times New Roman"/>
        <family val="1"/>
      </rPr>
      <t xml:space="preserve"> (‰)*</t>
    </r>
    <r>
      <rPr>
        <vertAlign val="superscript"/>
        <sz val="13"/>
        <color theme="1"/>
        <rFont val="Times New Roman"/>
        <family val="1"/>
      </rPr>
      <t>1</t>
    </r>
    <phoneticPr fontId="1"/>
  </si>
  <si>
    <r>
      <t>δ</t>
    </r>
    <r>
      <rPr>
        <vertAlign val="superscript"/>
        <sz val="12"/>
        <color theme="1"/>
        <rFont val="Times New Roman"/>
        <family val="1"/>
      </rPr>
      <t>13</t>
    </r>
    <r>
      <rPr>
        <sz val="12"/>
        <color theme="1"/>
        <rFont val="Times New Roman"/>
        <family val="1"/>
      </rPr>
      <t>C</t>
    </r>
    <r>
      <rPr>
        <vertAlign val="subscript"/>
        <sz val="13"/>
        <color theme="1"/>
        <rFont val="Times New Roman"/>
        <family val="1"/>
      </rPr>
      <t>Pv</t>
    </r>
    <r>
      <rPr>
        <sz val="12"/>
        <color theme="1"/>
        <rFont val="Times New Roman"/>
        <family val="1"/>
      </rPr>
      <t xml:space="preserve"> (‰)*</t>
    </r>
    <r>
      <rPr>
        <vertAlign val="superscript"/>
        <sz val="13"/>
        <color theme="1"/>
        <rFont val="Times New Roman"/>
        <family val="1"/>
      </rPr>
      <t>1</t>
    </r>
    <phoneticPr fontId="1"/>
  </si>
  <si>
    <r>
      <t>Δ*</t>
    </r>
    <r>
      <rPr>
        <vertAlign val="superscript"/>
        <sz val="12"/>
        <color theme="1"/>
        <rFont val="Times New Roman"/>
        <family val="1"/>
      </rPr>
      <t>2</t>
    </r>
    <phoneticPr fontId="6"/>
  </si>
  <si>
    <t>1 hour</t>
    <phoneticPr fontId="6"/>
  </si>
  <si>
    <t>2 hours</t>
    <phoneticPr fontId="1"/>
  </si>
  <si>
    <t>4 hours</t>
    <phoneticPr fontId="1"/>
  </si>
  <si>
    <t>8 hours</t>
    <phoneticPr fontId="1"/>
  </si>
  <si>
    <t>12 hours</t>
    <phoneticPr fontId="1"/>
  </si>
  <si>
    <t>Δ</t>
    <phoneticPr fontId="1"/>
  </si>
  <si>
    <r>
      <t>δ</t>
    </r>
    <r>
      <rPr>
        <vertAlign val="superscript"/>
        <sz val="12"/>
        <color theme="1"/>
        <rFont val="Times New Roman"/>
        <family val="1"/>
      </rPr>
      <t>13</t>
    </r>
    <r>
      <rPr>
        <sz val="12"/>
        <color theme="1"/>
        <rFont val="Times New Roman"/>
        <family val="1"/>
      </rPr>
      <t>C (‰)</t>
    </r>
    <phoneticPr fontId="1"/>
  </si>
  <si>
    <t>Sea slug</t>
    <phoneticPr fontId="1"/>
  </si>
  <si>
    <r>
      <t>δ</t>
    </r>
    <r>
      <rPr>
        <vertAlign val="superscript"/>
        <sz val="12"/>
        <color theme="1"/>
        <rFont val="Times New Roman"/>
        <family val="1"/>
      </rPr>
      <t>15</t>
    </r>
    <r>
      <rPr>
        <sz val="12"/>
        <color theme="1"/>
        <rFont val="Times New Roman"/>
        <family val="1"/>
      </rPr>
      <t>N (‰)</t>
    </r>
    <phoneticPr fontId="1"/>
  </si>
  <si>
    <t>Ile</t>
    <phoneticPr fontId="3"/>
  </si>
  <si>
    <t>Takizawa et al., (2020)</t>
    <phoneticPr fontId="1"/>
  </si>
  <si>
    <t>The present study</t>
    <phoneticPr fontId="1"/>
  </si>
  <si>
    <t>n.d.</t>
    <phoneticPr fontId="1"/>
  </si>
  <si>
    <t>Sponge</t>
    <phoneticPr fontId="1"/>
  </si>
  <si>
    <t>1 σ</t>
    <phoneticPr fontId="1"/>
  </si>
  <si>
    <t>*: Δ = Sea slug − Sponge</t>
    <phoneticPr fontId="6"/>
  </si>
  <si>
    <t>Hyp</t>
    <phoneticPr fontId="3"/>
  </si>
  <si>
    <r>
      <t>*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: δ</t>
    </r>
    <r>
      <rPr>
        <vertAlign val="superscript"/>
        <sz val="12"/>
        <color theme="1"/>
        <rFont val="Times New Roman"/>
        <family val="1"/>
      </rPr>
      <t>13</t>
    </r>
    <r>
      <rPr>
        <sz val="12"/>
        <color theme="1"/>
        <rFont val="Times New Roman"/>
        <family val="1"/>
      </rPr>
      <t>C</t>
    </r>
    <r>
      <rPr>
        <vertAlign val="subscript"/>
        <sz val="12"/>
        <color theme="1"/>
        <rFont val="Times New Roman"/>
        <family val="1"/>
      </rPr>
      <t>OiPr</t>
    </r>
    <r>
      <rPr>
        <sz val="12"/>
        <color theme="1"/>
        <rFont val="Times New Roman"/>
        <family val="1"/>
      </rPr>
      <t xml:space="preserve"> and δ</t>
    </r>
    <r>
      <rPr>
        <vertAlign val="superscript"/>
        <sz val="12"/>
        <color theme="1"/>
        <rFont val="Times New Roman"/>
        <family val="1"/>
      </rPr>
      <t>13</t>
    </r>
    <r>
      <rPr>
        <sz val="12"/>
        <color theme="1"/>
        <rFont val="Times New Roman"/>
        <family val="1"/>
      </rPr>
      <t>C</t>
    </r>
    <r>
      <rPr>
        <vertAlign val="subscript"/>
        <sz val="12"/>
        <color theme="1"/>
        <rFont val="Times New Roman"/>
        <family val="1"/>
      </rPr>
      <t>Pv</t>
    </r>
    <r>
      <rPr>
        <sz val="12"/>
        <color theme="1"/>
        <rFont val="Times New Roman"/>
        <family val="1"/>
      </rPr>
      <t xml:space="preserve"> were determined by simultaneous mass balance calculation for three pairs of the reference amino acids: Ala and Glu (shown in Ala row); Gly and Hyp (shown in Gly row); and Asp and Phe (shown in Asp row).</t>
    </r>
    <phoneticPr fontId="6"/>
  </si>
  <si>
    <r>
      <t>*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: Δ = Mean − Known</t>
    </r>
    <phoneticPr fontId="6"/>
  </si>
  <si>
    <r>
      <t>Supplementary Table 1. The δ</t>
    </r>
    <r>
      <rPr>
        <vertAlign val="superscript"/>
        <sz val="12"/>
        <color theme="1"/>
        <rFont val="Times New Roman"/>
        <family val="1"/>
      </rPr>
      <t>13</t>
    </r>
    <r>
      <rPr>
        <sz val="12"/>
        <color theme="1"/>
        <rFont val="Times New Roman"/>
        <family val="1"/>
      </rPr>
      <t>C values of derivatives, isopropyl group, pivaloyl group, and amino acids for the reference materials.</t>
    </r>
    <phoneticPr fontId="1"/>
  </si>
  <si>
    <r>
      <t>Supplementary Table 2 The δ</t>
    </r>
    <r>
      <rPr>
        <vertAlign val="superscript"/>
        <sz val="12"/>
        <color theme="1"/>
        <rFont val="Times New Roman"/>
        <family val="1"/>
      </rPr>
      <t>15</t>
    </r>
    <r>
      <rPr>
        <sz val="12"/>
        <color theme="1"/>
        <rFont val="Times New Roman"/>
        <family val="1"/>
      </rPr>
      <t>N values of derivatives, isopropyl group, pivaloyl group, and amino acids for the reference materials.</t>
    </r>
    <phoneticPr fontId="1"/>
  </si>
  <si>
    <t>*: Δ = Mean − Known</t>
    <phoneticPr fontId="6"/>
  </si>
  <si>
    <r>
      <t>Supplementary Table 3 The δ</t>
    </r>
    <r>
      <rPr>
        <vertAlign val="superscript"/>
        <sz val="12"/>
        <color theme="1"/>
        <rFont val="Times New Roman"/>
        <family val="1"/>
      </rPr>
      <t>13</t>
    </r>
    <r>
      <rPr>
        <sz val="12"/>
        <color theme="1"/>
        <rFont val="Times New Roman"/>
        <family val="1"/>
      </rPr>
      <t>C and δ</t>
    </r>
    <r>
      <rPr>
        <vertAlign val="superscript"/>
        <sz val="12"/>
        <color theme="1"/>
        <rFont val="Times New Roman"/>
        <family val="1"/>
      </rPr>
      <t>15</t>
    </r>
    <r>
      <rPr>
        <sz val="12"/>
        <color theme="1"/>
        <rFont val="Times New Roman"/>
        <family val="1"/>
      </rPr>
      <t>N of amino acids in wild species (sea slug and sponge).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</si>
</sst>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00_ "/>
    <numFmt numFmtId="178" formatCode="0.0"/>
    <numFmt numFmtId="179" formatCode="#,##0.0_ "/>
  </numFmts>
  <fonts count="1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6"/>
      <name val="Osaka"/>
      <family val="3"/>
      <charset val="128"/>
    </font>
    <font>
      <sz val="10"/>
      <name val="Geneva"/>
      <family val="2"/>
    </font>
    <font>
      <vertAlign val="subscript"/>
      <sz val="12"/>
      <color theme="1"/>
      <name val="Times New Roman"/>
      <family val="1"/>
    </font>
    <font>
      <vertAlign val="subscript"/>
      <sz val="13"/>
      <color theme="1"/>
      <name val="Times New Roman"/>
      <family val="1"/>
    </font>
    <font>
      <vertAlign val="superscript"/>
      <sz val="13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7" fillId="0" borderId="0"/>
  </cellStyleXfs>
  <cellXfs count="48">
    <xf numFmtId="0" fontId="0" fillId="0" borderId="0" xfId="0">
      <alignment vertical="center"/>
    </xf>
    <xf numFmtId="0" fontId="4" fillId="0" borderId="0" xfId="1" applyFont="1"/>
    <xf numFmtId="0" fontId="4" fillId="0" borderId="0" xfId="2" applyFont="1" applyAlignment="1">
      <alignment horizontal="center"/>
    </xf>
    <xf numFmtId="178" fontId="4" fillId="0" borderId="0" xfId="1" applyNumberFormat="1" applyFont="1"/>
    <xf numFmtId="176" fontId="4" fillId="0" borderId="0" xfId="1" applyNumberFormat="1" applyFont="1" applyAlignment="1">
      <alignment horizontal="center" vertical="center"/>
    </xf>
    <xf numFmtId="179" fontId="4" fillId="0" borderId="0" xfId="1" applyNumberFormat="1" applyFont="1"/>
    <xf numFmtId="0" fontId="4" fillId="0" borderId="1" xfId="1" applyFont="1" applyBorder="1" applyAlignment="1">
      <alignment horizontal="center"/>
    </xf>
    <xf numFmtId="179" fontId="4" fillId="0" borderId="2" xfId="1" applyNumberFormat="1" applyFont="1" applyBorder="1"/>
    <xf numFmtId="179" fontId="4" fillId="0" borderId="0" xfId="1" applyNumberFormat="1" applyFont="1" applyAlignment="1">
      <alignment horizontal="right"/>
    </xf>
    <xf numFmtId="0" fontId="4" fillId="0" borderId="2" xfId="2" applyFont="1" applyBorder="1" applyAlignment="1">
      <alignment horizontal="center"/>
    </xf>
    <xf numFmtId="178" fontId="4" fillId="0" borderId="2" xfId="1" applyNumberFormat="1" applyFont="1" applyBorder="1"/>
    <xf numFmtId="179" fontId="4" fillId="0" borderId="2" xfId="1" applyNumberFormat="1" applyFont="1" applyBorder="1" applyAlignment="1">
      <alignment horizontal="right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 vertical="center"/>
    </xf>
    <xf numFmtId="179" fontId="4" fillId="0" borderId="0" xfId="1" applyNumberFormat="1" applyFont="1" applyAlignment="1">
      <alignment horizont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176" fontId="4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176" fontId="4" fillId="0" borderId="0" xfId="1" applyNumberFormat="1" applyFont="1" applyAlignment="1">
      <alignment vertical="center" wrapText="1"/>
    </xf>
    <xf numFmtId="176" fontId="4" fillId="0" borderId="0" xfId="2" applyNumberFormat="1" applyFont="1" applyAlignment="1">
      <alignment horizontal="right"/>
    </xf>
    <xf numFmtId="176" fontId="4" fillId="0" borderId="0" xfId="1" applyNumberFormat="1" applyFont="1" applyAlignment="1">
      <alignment horizontal="right" vertical="center"/>
    </xf>
    <xf numFmtId="176" fontId="4" fillId="0" borderId="0" xfId="1" applyNumberFormat="1" applyFont="1" applyAlignment="1">
      <alignment horizontal="right"/>
    </xf>
    <xf numFmtId="176" fontId="4" fillId="0" borderId="2" xfId="1" applyNumberFormat="1" applyFont="1" applyBorder="1" applyAlignment="1">
      <alignment horizontal="center" vertical="center" wrapText="1"/>
    </xf>
    <xf numFmtId="176" fontId="4" fillId="0" borderId="0" xfId="1" applyNumberFormat="1" applyFont="1" applyAlignment="1">
      <alignment vertical="center"/>
    </xf>
    <xf numFmtId="176" fontId="4" fillId="0" borderId="2" xfId="1" applyNumberFormat="1" applyFont="1" applyBorder="1" applyAlignment="1">
      <alignment horizontal="right"/>
    </xf>
    <xf numFmtId="176" fontId="4" fillId="0" borderId="2" xfId="2" applyNumberFormat="1" applyFont="1" applyBorder="1" applyAlignment="1">
      <alignment horizontal="right"/>
    </xf>
    <xf numFmtId="178" fontId="4" fillId="0" borderId="0" xfId="0" applyNumberFormat="1" applyFont="1">
      <alignment vertical="center"/>
    </xf>
    <xf numFmtId="178" fontId="4" fillId="0" borderId="2" xfId="0" applyNumberFormat="1" applyFont="1" applyBorder="1">
      <alignment vertical="center"/>
    </xf>
    <xf numFmtId="176" fontId="4" fillId="0" borderId="3" xfId="1" applyNumberFormat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176" fontId="4" fillId="0" borderId="3" xfId="1" applyNumberFormat="1" applyFont="1" applyBorder="1" applyAlignment="1">
      <alignment horizontal="center" vertical="center"/>
    </xf>
    <xf numFmtId="176" fontId="4" fillId="0" borderId="2" xfId="1" applyNumberFormat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3" xfId="1" applyNumberFormat="1" applyFont="1" applyBorder="1" applyAlignment="1">
      <alignment horizontal="center" vertical="center" wrapText="1"/>
    </xf>
    <xf numFmtId="176" fontId="4" fillId="0" borderId="0" xfId="1" applyNumberFormat="1" applyFont="1" applyAlignment="1">
      <alignment horizontal="center" vertical="center" wrapText="1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2" xfId="1" applyNumberFormat="1" applyFont="1" applyBorder="1" applyAlignment="1">
      <alignment horizontal="center" vertical="center" wrapText="1"/>
    </xf>
    <xf numFmtId="0" fontId="4" fillId="0" borderId="0" xfId="0" applyFont="1" applyAlignment="1"/>
    <xf numFmtId="0" fontId="4" fillId="0" borderId="3" xfId="1" applyFont="1" applyBorder="1"/>
    <xf numFmtId="0" fontId="4" fillId="0" borderId="2" xfId="1" applyFont="1" applyBorder="1"/>
    <xf numFmtId="0" fontId="11" fillId="0" borderId="0" xfId="1" applyFont="1"/>
    <xf numFmtId="177" fontId="4" fillId="0" borderId="0" xfId="1" applyNumberFormat="1" applyFont="1"/>
    <xf numFmtId="2" fontId="4" fillId="0" borderId="0" xfId="1" applyNumberFormat="1" applyFont="1"/>
    <xf numFmtId="0" fontId="4" fillId="0" borderId="3" xfId="0" applyFont="1" applyBorder="1" applyAlignment="1"/>
  </cellXfs>
  <cellStyles count="3">
    <cellStyle name="標準" xfId="0" builtinId="0"/>
    <cellStyle name="標準 2" xfId="1" xr:uid="{B088F98E-4233-464E-9C47-0A235518AE80}"/>
    <cellStyle name="標準_n-alkane std δ13C" xfId="2" xr:uid="{C387F59B-C3F6-B848-9E7B-C2F81C6069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32BD3-83A6-8E4C-BB30-20C5529411BD}">
  <sheetPr>
    <pageSetUpPr fitToPage="1"/>
  </sheetPr>
  <dimension ref="A2:P83"/>
  <sheetViews>
    <sheetView topLeftCell="A74" zoomScale="115" zoomScaleNormal="100" zoomScalePageLayoutView="81" workbookViewId="0">
      <selection activeCell="D87" sqref="A1:XFD1048576"/>
    </sheetView>
  </sheetViews>
  <sheetFormatPr baseColWidth="10" defaultColWidth="10.140625" defaultRowHeight="18" customHeight="1"/>
  <cols>
    <col min="1" max="1" width="12.85546875" style="1" customWidth="1"/>
    <col min="2" max="2" width="10.42578125" style="1" bestFit="1" customWidth="1"/>
    <col min="3" max="9" width="8.28515625" style="1" customWidth="1"/>
    <col min="10" max="10" width="1.7109375" style="1" customWidth="1"/>
    <col min="11" max="16" width="8.28515625" style="1" customWidth="1"/>
    <col min="17" max="21" width="9.42578125" style="1" customWidth="1"/>
    <col min="22" max="24" width="8.7109375" style="1" customWidth="1"/>
    <col min="25" max="25" width="2.42578125" style="1" customWidth="1"/>
    <col min="26" max="27" width="8.7109375" style="1" customWidth="1"/>
    <col min="28" max="28" width="2.42578125" style="1" customWidth="1"/>
    <col min="29" max="30" width="8.7109375" style="1" customWidth="1"/>
    <col min="31" max="34" width="10.140625" style="1"/>
    <col min="35" max="38" width="9.42578125" style="1" customWidth="1"/>
    <col min="39" max="16384" width="10.140625" style="1"/>
  </cols>
  <sheetData>
    <row r="2" spans="1:16" ht="18" customHeight="1">
      <c r="A2" s="41" t="s">
        <v>48</v>
      </c>
    </row>
    <row r="3" spans="1:16" ht="18" customHeight="1">
      <c r="A3" s="30"/>
      <c r="B3" s="32" t="s">
        <v>12</v>
      </c>
      <c r="C3" s="34" t="s">
        <v>25</v>
      </c>
      <c r="D3" s="34"/>
      <c r="E3" s="34"/>
      <c r="F3" s="34"/>
      <c r="G3" s="34"/>
      <c r="H3" s="35" t="s">
        <v>26</v>
      </c>
      <c r="I3" s="35" t="s">
        <v>27</v>
      </c>
      <c r="J3" s="42"/>
      <c r="K3" s="34" t="s">
        <v>17</v>
      </c>
      <c r="L3" s="34"/>
      <c r="M3" s="34"/>
      <c r="N3" s="34"/>
      <c r="O3" s="34"/>
      <c r="P3" s="32" t="s">
        <v>28</v>
      </c>
    </row>
    <row r="4" spans="1:16" ht="18" customHeight="1">
      <c r="A4" s="31"/>
      <c r="B4" s="33"/>
      <c r="C4" s="6" t="s">
        <v>9</v>
      </c>
      <c r="D4" s="6" t="s">
        <v>10</v>
      </c>
      <c r="E4" s="6" t="s">
        <v>11</v>
      </c>
      <c r="F4" s="6" t="s">
        <v>14</v>
      </c>
      <c r="G4" s="6" t="s">
        <v>43</v>
      </c>
      <c r="H4" s="36"/>
      <c r="I4" s="36"/>
      <c r="K4" s="6" t="s">
        <v>9</v>
      </c>
      <c r="L4" s="6" t="s">
        <v>10</v>
      </c>
      <c r="M4" s="6" t="s">
        <v>11</v>
      </c>
      <c r="N4" s="6" t="s">
        <v>14</v>
      </c>
      <c r="O4" s="6" t="s">
        <v>43</v>
      </c>
      <c r="P4" s="33"/>
    </row>
    <row r="5" spans="1:16" ht="18" customHeight="1">
      <c r="A5" s="13" t="s">
        <v>18</v>
      </c>
      <c r="B5" s="4"/>
      <c r="C5" s="12"/>
      <c r="D5" s="12"/>
      <c r="E5" s="12"/>
      <c r="F5" s="12"/>
      <c r="G5" s="12"/>
      <c r="H5" s="12"/>
      <c r="I5" s="12"/>
      <c r="K5" s="12"/>
      <c r="L5" s="12"/>
      <c r="M5" s="12"/>
      <c r="N5" s="12"/>
      <c r="O5" s="12"/>
      <c r="P5" s="4"/>
    </row>
    <row r="6" spans="1:16" ht="18" customHeight="1">
      <c r="A6" s="2" t="s">
        <v>0</v>
      </c>
      <c r="B6" s="3">
        <v>-17.93</v>
      </c>
      <c r="C6" s="5">
        <v>-26.64</v>
      </c>
      <c r="D6" s="5">
        <v>-24.873000000000001</v>
      </c>
      <c r="E6" s="5">
        <v>-24.974</v>
      </c>
      <c r="F6" s="5">
        <f t="shared" ref="F6" si="0">AVERAGE(C6:E6)</f>
        <v>-25.495666666666668</v>
      </c>
      <c r="G6" s="5">
        <f t="shared" ref="G6" si="1">STDEV(C6:E6)</f>
        <v>0.9923075800039689</v>
      </c>
      <c r="H6" s="5">
        <v>-7.4921111111111003</v>
      </c>
      <c r="I6" s="5">
        <v>-40.837200000000017</v>
      </c>
      <c r="K6" s="27">
        <f>(11*C6-3*(-18.86)-5*(-31.72))/3</f>
        <v>-25.953333333333347</v>
      </c>
      <c r="L6" s="27">
        <f>(11*D6-3*(-18.9)-5*(-31.7))/3</f>
        <v>-19.467666666666673</v>
      </c>
      <c r="M6" s="27">
        <f>(11*E6-3*(-18.9)-5*(-31.7))/3</f>
        <v>-19.838000000000005</v>
      </c>
      <c r="N6" s="5">
        <f t="shared" ref="N6:N15" si="2">AVERAGE(K6:M6)</f>
        <v>-21.753000000000011</v>
      </c>
      <c r="O6" s="5">
        <f t="shared" ref="O6:O15" si="3">STDEV(K6:M6)</f>
        <v>3.6423051461646803</v>
      </c>
      <c r="P6" s="5">
        <f t="shared" ref="P6:P15" si="4">N6-B6</f>
        <v>-3.8230000000000111</v>
      </c>
    </row>
    <row r="7" spans="1:16" ht="18" customHeight="1">
      <c r="A7" s="2" t="s">
        <v>1</v>
      </c>
      <c r="B7" s="3">
        <v>-60.02</v>
      </c>
      <c r="C7" s="5">
        <v>-35.487000000000002</v>
      </c>
      <c r="D7" s="5">
        <v>-33.746000000000002</v>
      </c>
      <c r="E7" s="5">
        <v>-33.619999999999997</v>
      </c>
      <c r="F7" s="5">
        <f t="shared" ref="F7:F15" si="5">AVERAGE(C7:E7)</f>
        <v>-34.284333333333336</v>
      </c>
      <c r="G7" s="5">
        <f t="shared" ref="G7:G15" si="6">STDEV(C7:E7)</f>
        <v>1.0434434979112841</v>
      </c>
      <c r="H7" s="5">
        <v>-21.393555555555551</v>
      </c>
      <c r="I7" s="5">
        <v>-31.724533333333348</v>
      </c>
      <c r="K7" s="27">
        <f>(10*C7-3*(-18.86)-5*(-31.72))/2</f>
        <v>-69.845000000000013</v>
      </c>
      <c r="L7" s="27">
        <f>(10*D7-3*(-18.9)-5*(-31.7))/2</f>
        <v>-61.130000000000024</v>
      </c>
      <c r="M7" s="27">
        <f>(10*E7-3*(-18.9)-5*(-31.7))/2</f>
        <v>-60.5</v>
      </c>
      <c r="N7" s="5">
        <f t="shared" si="2"/>
        <v>-63.82500000000001</v>
      </c>
      <c r="O7" s="5">
        <f t="shared" si="3"/>
        <v>5.2229804709571734</v>
      </c>
      <c r="P7" s="5">
        <f t="shared" si="4"/>
        <v>-3.8050000000000068</v>
      </c>
    </row>
    <row r="8" spans="1:16" ht="18" customHeight="1">
      <c r="A8" s="2" t="s">
        <v>2</v>
      </c>
      <c r="B8" s="3">
        <v>-24.03</v>
      </c>
      <c r="C8" s="5">
        <v>-27.66</v>
      </c>
      <c r="D8" s="5">
        <v>-26.76</v>
      </c>
      <c r="E8" s="5">
        <v>-26.507999999999999</v>
      </c>
      <c r="F8" s="5">
        <f t="shared" si="5"/>
        <v>-26.975999999999999</v>
      </c>
      <c r="G8" s="5">
        <f t="shared" si="6"/>
        <v>0.60561373828538612</v>
      </c>
      <c r="H8" s="5"/>
      <c r="I8" s="5"/>
      <c r="K8" s="27">
        <f>(13*C8-3*(-18.86)-5*(-31.72))/5</f>
        <v>-28.880000000000003</v>
      </c>
      <c r="L8" s="27">
        <f>(13*D8-3*(-18.9)-5*(-31.7))/5</f>
        <v>-26.536000000000001</v>
      </c>
      <c r="M8" s="27">
        <f>(13*E8-3*(-18.9)-5*(-31.7))/5</f>
        <v>-25.880800000000001</v>
      </c>
      <c r="N8" s="5">
        <f t="shared" si="2"/>
        <v>-27.098933333333335</v>
      </c>
      <c r="O8" s="5">
        <f t="shared" si="3"/>
        <v>1.5768546582780978</v>
      </c>
      <c r="P8" s="5">
        <f t="shared" si="4"/>
        <v>-3.0689333333333337</v>
      </c>
    </row>
    <row r="9" spans="1:16" ht="18" customHeight="1">
      <c r="A9" s="2" t="s">
        <v>3</v>
      </c>
      <c r="B9" s="3">
        <v>-28.36</v>
      </c>
      <c r="C9" s="5">
        <v>-26.225000000000001</v>
      </c>
      <c r="D9" s="5">
        <v>-26.954999999999998</v>
      </c>
      <c r="E9" s="5">
        <v>-27.114999999999998</v>
      </c>
      <c r="F9" s="5">
        <f t="shared" si="5"/>
        <v>-26.765000000000001</v>
      </c>
      <c r="G9" s="5">
        <f t="shared" si="6"/>
        <v>0.47444704657105663</v>
      </c>
      <c r="H9" s="5"/>
      <c r="I9" s="5"/>
      <c r="K9" s="27">
        <f>(14*C9-3*(-18.86)-5*(-31.72))/6</f>
        <v>-25.328333333333344</v>
      </c>
      <c r="L9" s="27">
        <f>(14*D9-3*(-18.9)-5*(-31.7))/6</f>
        <v>-27.028333333333336</v>
      </c>
      <c r="M9" s="27">
        <f>(14*E9-3*(-18.9)-5*(-31.7))/6</f>
        <v>-27.40166666666666</v>
      </c>
      <c r="N9" s="5">
        <f t="shared" si="2"/>
        <v>-26.586111111111112</v>
      </c>
      <c r="O9" s="5">
        <f t="shared" si="3"/>
        <v>1.1051462112083319</v>
      </c>
      <c r="P9" s="5">
        <f t="shared" si="4"/>
        <v>1.7738888888888873</v>
      </c>
    </row>
    <row r="10" spans="1:16" ht="18" customHeight="1">
      <c r="A10" s="2" t="s">
        <v>4</v>
      </c>
      <c r="B10" s="3">
        <v>-28.85</v>
      </c>
      <c r="C10" s="5">
        <v>-27.312000000000001</v>
      </c>
      <c r="D10" s="5">
        <v>-27.666</v>
      </c>
      <c r="E10" s="5">
        <v>-27.143000000000001</v>
      </c>
      <c r="F10" s="5">
        <f t="shared" si="5"/>
        <v>-27.373666666666669</v>
      </c>
      <c r="G10" s="5">
        <f t="shared" si="6"/>
        <v>0.26689760833198417</v>
      </c>
      <c r="H10" s="5"/>
      <c r="I10" s="5"/>
      <c r="K10" s="27">
        <f>(14*C10-3*(-18.86)-5*(-31.72))/6</f>
        <v>-27.864666666666668</v>
      </c>
      <c r="L10" s="27">
        <f>(14*D10-3*(-18.9)-5*(-31.7))/6</f>
        <v>-28.687333333333338</v>
      </c>
      <c r="M10" s="27">
        <f>(14*E10-3*(-18.9)-5*(-31.7))/6</f>
        <v>-27.467000000000002</v>
      </c>
      <c r="N10" s="5">
        <f t="shared" si="2"/>
        <v>-28.006333333333334</v>
      </c>
      <c r="O10" s="5">
        <f t="shared" si="3"/>
        <v>0.62237885925250258</v>
      </c>
      <c r="P10" s="5">
        <f t="shared" si="4"/>
        <v>0.84366666666666745</v>
      </c>
    </row>
    <row r="11" spans="1:16" ht="18" customHeight="1">
      <c r="A11" s="2" t="s">
        <v>5</v>
      </c>
      <c r="B11" s="3">
        <v>-23.95</v>
      </c>
      <c r="C11" s="5">
        <v>-24.073</v>
      </c>
      <c r="D11" s="5">
        <v>-25.481000000000002</v>
      </c>
      <c r="E11" s="5">
        <v>-25.443999999999999</v>
      </c>
      <c r="F11" s="5">
        <f t="shared" si="5"/>
        <v>-24.999333333333336</v>
      </c>
      <c r="G11" s="5">
        <f t="shared" si="6"/>
        <v>0.80244148280939043</v>
      </c>
      <c r="H11" s="5">
        <v>-27.698777777777806</v>
      </c>
      <c r="I11" s="5">
        <v>-22.59946666666665</v>
      </c>
      <c r="K11" s="27">
        <f>(15*C11-6*(-18.86)-5*(-31.72))/4</f>
        <v>-22.333750000000009</v>
      </c>
      <c r="L11" s="27">
        <f>(15*D11-6*(-18.9)-5*(-31.7))/4</f>
        <v>-27.578750000000014</v>
      </c>
      <c r="M11" s="27">
        <f>(15*E11-6*(-18.9)-5*(-31.7))/4</f>
        <v>-27.439999999999998</v>
      </c>
      <c r="N11" s="5">
        <f t="shared" si="2"/>
        <v>-25.784166666666675</v>
      </c>
      <c r="O11" s="5">
        <f t="shared" si="3"/>
        <v>2.9889537083791247</v>
      </c>
      <c r="P11" s="5">
        <f t="shared" si="4"/>
        <v>-1.8341666666666754</v>
      </c>
    </row>
    <row r="12" spans="1:16" ht="18" customHeight="1">
      <c r="A12" s="2" t="s">
        <v>6</v>
      </c>
      <c r="B12" s="3">
        <v>-29.4</v>
      </c>
      <c r="C12" s="5">
        <v>-26.683</v>
      </c>
      <c r="D12" s="5">
        <v>-27.364000000000001</v>
      </c>
      <c r="E12" s="5">
        <v>-27.625</v>
      </c>
      <c r="F12" s="5">
        <f t="shared" si="5"/>
        <v>-27.224</v>
      </c>
      <c r="G12" s="5">
        <f t="shared" si="6"/>
        <v>0.48635480875591253</v>
      </c>
      <c r="H12" s="5"/>
      <c r="I12" s="5"/>
      <c r="K12" s="27">
        <f>(13*C12-3*(-18.86)-5*(-31.72))/5</f>
        <v>-26.339800000000007</v>
      </c>
      <c r="L12" s="27">
        <f>(13*D12-3*(-18.9)-5*(-31.7))/5</f>
        <v>-28.106400000000008</v>
      </c>
      <c r="M12" s="27">
        <f>(13*E12-3*(-18.9)-5*(-31.7))/5</f>
        <v>-28.785000000000004</v>
      </c>
      <c r="N12" s="5">
        <f t="shared" si="2"/>
        <v>-27.743733333333342</v>
      </c>
      <c r="O12" s="5">
        <f t="shared" si="3"/>
        <v>1.2622979415864264</v>
      </c>
      <c r="P12" s="5">
        <f t="shared" si="4"/>
        <v>1.6562666666666566</v>
      </c>
    </row>
    <row r="13" spans="1:16" ht="18" customHeight="1">
      <c r="A13" s="2" t="s">
        <v>7</v>
      </c>
      <c r="B13" s="3">
        <v>-13.8</v>
      </c>
      <c r="C13" s="5">
        <v>-19.231000000000002</v>
      </c>
      <c r="D13" s="5">
        <v>-19.957999999999998</v>
      </c>
      <c r="E13" s="5">
        <v>-20.462</v>
      </c>
      <c r="F13" s="5">
        <f t="shared" si="5"/>
        <v>-19.883666666666667</v>
      </c>
      <c r="G13" s="5">
        <f t="shared" si="6"/>
        <v>0.61885728026204234</v>
      </c>
      <c r="H13" s="5"/>
      <c r="I13" s="5"/>
      <c r="K13" s="27">
        <f>(16*C13-6*(-18.96)-5*(-31.72))/5</f>
        <v>-7.0672000000000086</v>
      </c>
      <c r="L13" s="27">
        <f>(16*D13-6*(-18.9)-5*(-31.7))/5</f>
        <v>-9.4855999999999998</v>
      </c>
      <c r="M13" s="27">
        <f>(16*E13-6*(-18.9)-5*(-31.7))/5</f>
        <v>-11.098400000000003</v>
      </c>
      <c r="N13" s="5">
        <f t="shared" si="2"/>
        <v>-9.2170666666666694</v>
      </c>
      <c r="O13" s="5">
        <f t="shared" si="3"/>
        <v>2.0289716541473282</v>
      </c>
      <c r="P13" s="5">
        <f t="shared" si="4"/>
        <v>4.5829333333333313</v>
      </c>
    </row>
    <row r="14" spans="1:16" ht="18" customHeight="1">
      <c r="A14" s="2" t="s">
        <v>8</v>
      </c>
      <c r="B14" s="3">
        <v>-11.2</v>
      </c>
      <c r="C14" s="5">
        <v>-17.221</v>
      </c>
      <c r="D14" s="5">
        <v>-16.713000000000001</v>
      </c>
      <c r="E14" s="5">
        <v>-18.459</v>
      </c>
      <c r="F14" s="5">
        <f t="shared" si="5"/>
        <v>-17.464333333333332</v>
      </c>
      <c r="G14" s="5">
        <f t="shared" si="6"/>
        <v>0.89807423598126457</v>
      </c>
      <c r="H14" s="5"/>
      <c r="I14" s="5"/>
      <c r="K14" s="27">
        <f>(17*C14-3*(-18.86)-5*(-31.72))/9</f>
        <v>-8.619666666666669</v>
      </c>
      <c r="L14" s="27">
        <f>(17*D14-3*(-18.9)-5*(-31.7))/9</f>
        <v>-7.6578888888888947</v>
      </c>
      <c r="M14" s="27">
        <f>(17*E14-3*(-18.9)-5*(-31.7))/9</f>
        <v>-10.955888888888889</v>
      </c>
      <c r="N14" s="5">
        <f t="shared" si="2"/>
        <v>-9.0778148148148183</v>
      </c>
      <c r="O14" s="5">
        <f t="shared" si="3"/>
        <v>1.6960618485888606</v>
      </c>
      <c r="P14" s="5">
        <f t="shared" si="4"/>
        <v>2.122185185185181</v>
      </c>
    </row>
    <row r="15" spans="1:16" ht="18" customHeight="1">
      <c r="A15" s="2" t="s">
        <v>45</v>
      </c>
      <c r="B15" s="3">
        <v>-12.66</v>
      </c>
      <c r="C15" s="5">
        <v>-24.913</v>
      </c>
      <c r="D15" s="5">
        <v>-24.513000000000002</v>
      </c>
      <c r="E15" s="5">
        <v>-24.695</v>
      </c>
      <c r="F15" s="5">
        <f t="shared" si="5"/>
        <v>-24.707000000000004</v>
      </c>
      <c r="G15" s="5">
        <f t="shared" si="6"/>
        <v>0.20026981799562241</v>
      </c>
      <c r="H15" s="5"/>
      <c r="I15" s="5"/>
      <c r="K15" s="27">
        <f>(18*C15-3*(-18.86)-10*(-31.72))/5</f>
        <v>-14.93080000000001</v>
      </c>
      <c r="L15" s="27">
        <f>(18*D15-3*(-18.9)-10*(-31.7))/5</f>
        <v>-13.506800000000009</v>
      </c>
      <c r="M15" s="27">
        <f>(18*E15-3*(-18.9)-10*(-31.7))/5</f>
        <v>-14.162000000000001</v>
      </c>
      <c r="N15" s="5">
        <f t="shared" si="2"/>
        <v>-14.199866666666672</v>
      </c>
      <c r="O15" s="5">
        <f t="shared" si="3"/>
        <v>0.71275480589985118</v>
      </c>
      <c r="P15" s="5">
        <f t="shared" si="4"/>
        <v>-1.539866666666672</v>
      </c>
    </row>
    <row r="16" spans="1:16" ht="18" customHeight="1">
      <c r="A16" s="13" t="s">
        <v>19</v>
      </c>
      <c r="B16" s="4"/>
      <c r="C16" s="12"/>
      <c r="D16" s="12"/>
      <c r="E16" s="12"/>
      <c r="F16" s="12"/>
      <c r="G16" s="12"/>
      <c r="H16" s="14"/>
      <c r="I16" s="14"/>
      <c r="K16" s="12"/>
      <c r="L16" s="12"/>
      <c r="M16" s="12"/>
      <c r="N16" s="12"/>
      <c r="O16" s="12"/>
      <c r="P16" s="4"/>
    </row>
    <row r="17" spans="1:16" ht="18" customHeight="1">
      <c r="A17" s="2" t="s">
        <v>0</v>
      </c>
      <c r="B17" s="3">
        <v>-17.93</v>
      </c>
      <c r="C17" s="5">
        <v>-24.808</v>
      </c>
      <c r="D17" s="5">
        <v>-25.295999999999999</v>
      </c>
      <c r="E17" s="5">
        <v>-24.552</v>
      </c>
      <c r="F17" s="5">
        <f t="shared" ref="F17:F26" si="7">AVERAGE(C17:E17)</f>
        <v>-24.885333333333335</v>
      </c>
      <c r="G17" s="5">
        <f t="shared" ref="G17:G26" si="8">STDEV(C17:E17)</f>
        <v>0.37798059914939186</v>
      </c>
      <c r="H17" s="5">
        <v>-13.733555555555554</v>
      </c>
      <c r="I17" s="5">
        <v>-35.749600000000008</v>
      </c>
      <c r="K17" s="27">
        <f>(11*C17-3*(-20.51)-5*(-30.28))/3</f>
        <v>-19.98599999999999</v>
      </c>
      <c r="L17" s="27">
        <f>(11*D17-3*(-20.51)-5*(-30.28))/3</f>
        <v>-21.775333333333322</v>
      </c>
      <c r="M17" s="27">
        <f>(11*E17-3*(-20.51)-5*(-30.28))/3</f>
        <v>-19.047333333333331</v>
      </c>
      <c r="N17" s="5">
        <f t="shared" ref="N17:N26" si="9">AVERAGE(K17:M17)</f>
        <v>-20.269555555555545</v>
      </c>
      <c r="O17" s="5">
        <f t="shared" ref="O17:O26" si="10">STDEV(K17:M17)</f>
        <v>1.3859288635477665</v>
      </c>
      <c r="P17" s="5">
        <f t="shared" ref="P17:P26" si="11">N17-B17</f>
        <v>-2.3395555555555454</v>
      </c>
    </row>
    <row r="18" spans="1:16" ht="18" customHeight="1">
      <c r="A18" s="2" t="s">
        <v>1</v>
      </c>
      <c r="B18" s="3">
        <v>-60.02</v>
      </c>
      <c r="C18" s="5">
        <v>-34.154000000000003</v>
      </c>
      <c r="D18" s="5">
        <v>-35.186999999999998</v>
      </c>
      <c r="E18" s="5">
        <v>-34.468000000000004</v>
      </c>
      <c r="F18" s="5">
        <f t="shared" si="7"/>
        <v>-34.603000000000002</v>
      </c>
      <c r="G18" s="5">
        <f t="shared" si="8"/>
        <v>0.52956680409557078</v>
      </c>
      <c r="H18" s="5">
        <v>-21.842000000000013</v>
      </c>
      <c r="I18" s="5">
        <v>-32.092799999999997</v>
      </c>
      <c r="K18" s="27">
        <f>(10*C18-3*(-20.51)-5*(-30.28))/2</f>
        <v>-64.304999999999993</v>
      </c>
      <c r="L18" s="27">
        <f>(10*D18-3*(-20.51)-5*(-30.28))/2</f>
        <v>-69.470000000000013</v>
      </c>
      <c r="M18" s="27">
        <f>(10*E18-3*(-20.51)-5*(-30.28))/2</f>
        <v>-65.875000000000043</v>
      </c>
      <c r="N18" s="5">
        <f t="shared" si="9"/>
        <v>-66.550000000000011</v>
      </c>
      <c r="O18" s="5">
        <f t="shared" si="10"/>
        <v>2.647834020477875</v>
      </c>
      <c r="P18" s="5">
        <f t="shared" si="11"/>
        <v>-6.5300000000000082</v>
      </c>
    </row>
    <row r="19" spans="1:16" ht="18" customHeight="1">
      <c r="A19" s="2" t="s">
        <v>2</v>
      </c>
      <c r="B19" s="3">
        <v>-24.03</v>
      </c>
      <c r="C19" s="5">
        <v>-26.471</v>
      </c>
      <c r="D19" s="5">
        <v>-26.177</v>
      </c>
      <c r="E19" s="5">
        <v>-26.503</v>
      </c>
      <c r="F19" s="5">
        <f t="shared" si="7"/>
        <v>-26.383666666666667</v>
      </c>
      <c r="G19" s="5">
        <f t="shared" si="8"/>
        <v>0.17969232964523957</v>
      </c>
      <c r="H19" s="5"/>
      <c r="I19" s="5"/>
      <c r="K19" s="27">
        <f>(13*C19-3*(-20.51)-5*(-30.28))/5</f>
        <v>-26.238599999999991</v>
      </c>
      <c r="L19" s="27">
        <f>(13*D19-3*(-20.51)-5*(-30.28))/5</f>
        <v>-25.474199999999989</v>
      </c>
      <c r="M19" s="27">
        <f>(13*E19-3*(-20.51)-5*(-30.28))/5</f>
        <v>-26.321800000000003</v>
      </c>
      <c r="N19" s="5">
        <f t="shared" si="9"/>
        <v>-26.011533333333329</v>
      </c>
      <c r="O19" s="5">
        <f t="shared" si="10"/>
        <v>0.46720005707762724</v>
      </c>
      <c r="P19" s="5">
        <f t="shared" si="11"/>
        <v>-1.9815333333333278</v>
      </c>
    </row>
    <row r="20" spans="1:16" ht="18" customHeight="1">
      <c r="A20" s="2" t="s">
        <v>3</v>
      </c>
      <c r="B20" s="3">
        <v>-28.36</v>
      </c>
      <c r="C20" s="5">
        <v>-26.396999999999998</v>
      </c>
      <c r="D20" s="5">
        <v>-27.43</v>
      </c>
      <c r="E20" s="5">
        <v>-27.064</v>
      </c>
      <c r="F20" s="5">
        <f t="shared" si="7"/>
        <v>-26.963666666666665</v>
      </c>
      <c r="G20" s="5">
        <f t="shared" si="8"/>
        <v>0.52375789572409703</v>
      </c>
      <c r="H20" s="5"/>
      <c r="I20" s="5"/>
      <c r="K20" s="27">
        <f t="shared" ref="K20:M21" si="12">(14*C20-3*(-20.51)-5*(-30.28))/6</f>
        <v>-26.10466666666667</v>
      </c>
      <c r="L20" s="27">
        <f t="shared" si="12"/>
        <v>-28.515000000000001</v>
      </c>
      <c r="M20" s="27">
        <f t="shared" si="12"/>
        <v>-27.660999999999998</v>
      </c>
      <c r="N20" s="5">
        <f t="shared" si="9"/>
        <v>-27.426888888888893</v>
      </c>
      <c r="O20" s="5">
        <f t="shared" si="10"/>
        <v>1.2221017566895562</v>
      </c>
      <c r="P20" s="5">
        <f t="shared" si="11"/>
        <v>0.93311111111110634</v>
      </c>
    </row>
    <row r="21" spans="1:16" ht="18" customHeight="1">
      <c r="A21" s="2" t="s">
        <v>4</v>
      </c>
      <c r="B21" s="3">
        <v>-28.85</v>
      </c>
      <c r="C21" s="5">
        <v>-27.143000000000001</v>
      </c>
      <c r="D21" s="5">
        <v>-27.408999999999999</v>
      </c>
      <c r="E21" s="5">
        <v>-27.673999999999999</v>
      </c>
      <c r="F21" s="5">
        <f t="shared" si="7"/>
        <v>-27.408666666666665</v>
      </c>
      <c r="G21" s="5">
        <f t="shared" si="8"/>
        <v>0.26550015693655066</v>
      </c>
      <c r="H21" s="5"/>
      <c r="I21" s="5"/>
      <c r="K21" s="27">
        <f t="shared" si="12"/>
        <v>-27.845333333333329</v>
      </c>
      <c r="L21" s="27">
        <f t="shared" si="12"/>
        <v>-28.466000000000005</v>
      </c>
      <c r="M21" s="27">
        <f t="shared" si="12"/>
        <v>-29.084333333333323</v>
      </c>
      <c r="N21" s="5">
        <f t="shared" si="9"/>
        <v>-28.46522222222222</v>
      </c>
      <c r="O21" s="5">
        <f t="shared" si="10"/>
        <v>0.61950036618528304</v>
      </c>
      <c r="P21" s="5">
        <f t="shared" si="11"/>
        <v>0.38477777777778144</v>
      </c>
    </row>
    <row r="22" spans="1:16" ht="18" customHeight="1">
      <c r="A22" s="2" t="s">
        <v>5</v>
      </c>
      <c r="B22" s="3">
        <v>-23.95</v>
      </c>
      <c r="C22" s="5">
        <v>-24.042999999999999</v>
      </c>
      <c r="D22" s="5">
        <v>-24.646999999999998</v>
      </c>
      <c r="E22" s="5">
        <v>-24.605</v>
      </c>
      <c r="F22" s="5">
        <f t="shared" si="7"/>
        <v>-24.431666666666668</v>
      </c>
      <c r="G22" s="5">
        <f t="shared" si="8"/>
        <v>0.33724966024198355</v>
      </c>
      <c r="H22" s="5">
        <v>-25.948444444444448</v>
      </c>
      <c r="I22" s="5">
        <v>-22.996866666666662</v>
      </c>
      <c r="K22" s="27">
        <f>(15*C22-6*(-20.51)-5*(-30.28))/4</f>
        <v>-21.546249999999993</v>
      </c>
      <c r="L22" s="27">
        <f>(15*D22-6*(-20.51)-5*(-30.28))/4</f>
        <v>-23.811249999999994</v>
      </c>
      <c r="M22" s="27">
        <f>(15*E22-6*(-20.51)-5*(-30.28))/4</f>
        <v>-23.653749999999995</v>
      </c>
      <c r="N22" s="5">
        <f t="shared" si="9"/>
        <v>-23.003749999999997</v>
      </c>
      <c r="O22" s="5">
        <f t="shared" si="10"/>
        <v>1.2646862259074387</v>
      </c>
      <c r="P22" s="5">
        <f t="shared" si="11"/>
        <v>0.9462500000000027</v>
      </c>
    </row>
    <row r="23" spans="1:16" ht="18" customHeight="1">
      <c r="A23" s="2" t="s">
        <v>6</v>
      </c>
      <c r="B23" s="3">
        <v>-29.4</v>
      </c>
      <c r="C23" s="5">
        <v>-27.154</v>
      </c>
      <c r="D23" s="5">
        <v>-27.817</v>
      </c>
      <c r="E23" s="5">
        <v>-27.375</v>
      </c>
      <c r="F23" s="5">
        <f t="shared" si="7"/>
        <v>-27.448666666666668</v>
      </c>
      <c r="G23" s="5">
        <f t="shared" si="8"/>
        <v>0.33758307619508032</v>
      </c>
      <c r="H23" s="5"/>
      <c r="I23" s="5"/>
      <c r="K23" s="27">
        <f>(13*C23-3*(-20.51)-5*(-30.28))/5</f>
        <v>-28.014399999999995</v>
      </c>
      <c r="L23" s="27">
        <f>(13*D23-3*(-20.51)-5*(-30.28))/5</f>
        <v>-29.738199999999999</v>
      </c>
      <c r="M23" s="27">
        <f>(13*E23-3*(-20.51)-5*(-30.28))/5</f>
        <v>-28.589000000000006</v>
      </c>
      <c r="N23" s="5">
        <f t="shared" si="9"/>
        <v>-28.780533333333334</v>
      </c>
      <c r="O23" s="5">
        <f t="shared" si="10"/>
        <v>0.87771599810720968</v>
      </c>
      <c r="P23" s="5">
        <f t="shared" si="11"/>
        <v>0.61946666666666417</v>
      </c>
    </row>
    <row r="24" spans="1:16" ht="18" customHeight="1">
      <c r="A24" s="2" t="s">
        <v>7</v>
      </c>
      <c r="B24" s="3">
        <v>-13.8</v>
      </c>
      <c r="C24" s="5">
        <v>-20.536000000000001</v>
      </c>
      <c r="D24" s="5">
        <v>-20.986000000000001</v>
      </c>
      <c r="E24" s="5">
        <v>-20.381</v>
      </c>
      <c r="F24" s="5">
        <f t="shared" si="7"/>
        <v>-20.634333333333334</v>
      </c>
      <c r="G24" s="5">
        <f t="shared" si="8"/>
        <v>0.31425838625776298</v>
      </c>
      <c r="H24" s="5"/>
      <c r="I24" s="5"/>
      <c r="K24" s="27">
        <f>(16*C24-6*(-20.51)-5*(-30.28))/5</f>
        <v>-10.823200000000003</v>
      </c>
      <c r="L24" s="27">
        <f>(16*D24-6*(-20.51)-5*(-30.28))/5</f>
        <v>-12.263200000000001</v>
      </c>
      <c r="M24" s="27">
        <f>(16*E24-6*(-20.51)-5*(-30.28))/5</f>
        <v>-10.327199999999999</v>
      </c>
      <c r="N24" s="5">
        <f t="shared" si="9"/>
        <v>-11.137866666666667</v>
      </c>
      <c r="O24" s="5">
        <f t="shared" si="10"/>
        <v>1.0056268360248417</v>
      </c>
      <c r="P24" s="5">
        <f t="shared" si="11"/>
        <v>2.6621333333333332</v>
      </c>
    </row>
    <row r="25" spans="1:16" ht="18" customHeight="1">
      <c r="A25" s="2" t="s">
        <v>8</v>
      </c>
      <c r="B25" s="3">
        <v>-11.2</v>
      </c>
      <c r="C25" s="5">
        <v>-15.551</v>
      </c>
      <c r="D25" s="5">
        <v>-17.968</v>
      </c>
      <c r="E25" s="5">
        <v>-18.297999999999998</v>
      </c>
      <c r="F25" s="5">
        <f t="shared" si="7"/>
        <v>-17.272333333333332</v>
      </c>
      <c r="G25" s="5">
        <f t="shared" si="8"/>
        <v>1.4998221005617072</v>
      </c>
      <c r="H25" s="5"/>
      <c r="I25" s="5"/>
      <c r="K25" s="27">
        <f>(17*C25-3*(-20.51)-5*(-30.28))/9</f>
        <v>-5.7152222222222235</v>
      </c>
      <c r="L25" s="27">
        <f>(17*D25-3*(-20.51)-5*(-30.28))/9</f>
        <v>-10.280666666666669</v>
      </c>
      <c r="M25" s="27">
        <f>(17*E25-3*(-20.51)-5*(-30.28))/9</f>
        <v>-10.903999999999996</v>
      </c>
      <c r="N25" s="5">
        <f t="shared" si="9"/>
        <v>-8.9666296296296295</v>
      </c>
      <c r="O25" s="5">
        <f t="shared" si="10"/>
        <v>2.8329973010610012</v>
      </c>
      <c r="P25" s="5">
        <f t="shared" si="11"/>
        <v>2.2333703703703698</v>
      </c>
    </row>
    <row r="26" spans="1:16" ht="18" customHeight="1">
      <c r="A26" s="2" t="s">
        <v>45</v>
      </c>
      <c r="B26" s="3">
        <v>-12.66</v>
      </c>
      <c r="C26" s="5">
        <v>-24.652999999999999</v>
      </c>
      <c r="D26" s="5">
        <v>-25.134</v>
      </c>
      <c r="E26" s="5">
        <v>-25.172000000000001</v>
      </c>
      <c r="F26" s="5">
        <f t="shared" si="7"/>
        <v>-24.986333333333334</v>
      </c>
      <c r="G26" s="5">
        <f t="shared" si="8"/>
        <v>0.28929972923135261</v>
      </c>
      <c r="H26" s="5"/>
      <c r="I26" s="5"/>
      <c r="K26" s="27">
        <f>(18*C26-3*(-20.51)-10*(-30.28))/5</f>
        <v>-15.884799999999984</v>
      </c>
      <c r="L26" s="27">
        <f>(18*D26-3*(-20.51)-10*(-30.28))/5</f>
        <v>-17.616400000000009</v>
      </c>
      <c r="M26" s="27">
        <f>(18*E26-3*(-20.51)-10*(-30.28))/5</f>
        <v>-17.753200000000003</v>
      </c>
      <c r="N26" s="5">
        <f t="shared" si="9"/>
        <v>-17.084800000000001</v>
      </c>
      <c r="O26" s="5">
        <f t="shared" si="10"/>
        <v>1.0414790252328781</v>
      </c>
      <c r="P26" s="5">
        <f t="shared" si="11"/>
        <v>-4.4248000000000012</v>
      </c>
    </row>
    <row r="27" spans="1:16" ht="18" customHeight="1">
      <c r="A27" s="13" t="s">
        <v>20</v>
      </c>
      <c r="B27" s="4"/>
      <c r="C27" s="12"/>
      <c r="D27" s="12"/>
      <c r="E27" s="12"/>
      <c r="F27" s="12"/>
      <c r="G27" s="12"/>
      <c r="H27" s="14"/>
      <c r="I27" s="14"/>
      <c r="K27" s="12"/>
      <c r="L27" s="12"/>
      <c r="M27" s="12"/>
      <c r="N27" s="12"/>
      <c r="O27" s="12"/>
      <c r="P27" s="4"/>
    </row>
    <row r="28" spans="1:16" ht="18" customHeight="1">
      <c r="A28" s="2" t="s">
        <v>0</v>
      </c>
      <c r="B28" s="3">
        <v>-17.93</v>
      </c>
      <c r="C28" s="5">
        <v>-24.876000000000001</v>
      </c>
      <c r="D28" s="5">
        <v>-24.591999999999999</v>
      </c>
      <c r="E28" s="5">
        <v>-24.449000000000002</v>
      </c>
      <c r="F28" s="5">
        <f t="shared" ref="F28:F37" si="13">AVERAGE(C28:E28)</f>
        <v>-24.638999999999999</v>
      </c>
      <c r="G28" s="5">
        <f t="shared" ref="G28:G37" si="14">STDEV(C28:E28)</f>
        <v>0.217345347316201</v>
      </c>
      <c r="H28" s="5">
        <v>-12.099888888888884</v>
      </c>
      <c r="I28" s="5">
        <v>-36.187866666666672</v>
      </c>
      <c r="K28" s="27">
        <f>(11*C28-3*(-17.15)-5*(-32.28))/3</f>
        <v>-20.262000000000011</v>
      </c>
      <c r="L28" s="27">
        <f>(11*D28-3*(-17.15)-5*(-32.28))/3</f>
        <v>-19.22066666666667</v>
      </c>
      <c r="M28" s="27">
        <f>(11*E28-3*(-17.15)-5*(-32.28))/3</f>
        <v>-18.696333333333342</v>
      </c>
      <c r="N28" s="5">
        <f t="shared" ref="N28:N37" si="15">AVERAGE(K28:M28)</f>
        <v>-19.393000000000008</v>
      </c>
      <c r="O28" s="5">
        <f t="shared" ref="O28:O37" si="16">STDEV(K28:M28)</f>
        <v>0.79693294015940508</v>
      </c>
      <c r="P28" s="5">
        <f t="shared" ref="P28:P37" si="17">N28-B28</f>
        <v>-1.4630000000000081</v>
      </c>
    </row>
    <row r="29" spans="1:16" ht="18" customHeight="1">
      <c r="A29" s="2" t="s">
        <v>1</v>
      </c>
      <c r="B29" s="3">
        <v>-60.02</v>
      </c>
      <c r="C29" s="5">
        <v>-34.374000000000002</v>
      </c>
      <c r="D29" s="5">
        <v>-34.216000000000001</v>
      </c>
      <c r="E29" s="5">
        <v>-33.854999999999997</v>
      </c>
      <c r="F29" s="5">
        <f t="shared" si="13"/>
        <v>-34.148333333333333</v>
      </c>
      <c r="G29" s="5">
        <f t="shared" si="14"/>
        <v>0.26603445892089778</v>
      </c>
      <c r="H29" s="5">
        <v>-19.820888888888859</v>
      </c>
      <c r="I29" s="5">
        <v>-32.396133333333339</v>
      </c>
      <c r="K29" s="27">
        <f>(10*C29-3*(-17.15)-5*(-32.28))/2</f>
        <v>-65.445000000000007</v>
      </c>
      <c r="L29" s="27">
        <f>(10*D29-3*(-17.15)-5*(-32.28))/2</f>
        <v>-64.655000000000015</v>
      </c>
      <c r="M29" s="27">
        <f>(10*E29-3*(-17.15)-5*(-32.28))/2</f>
        <v>-62.84999999999998</v>
      </c>
      <c r="N29" s="5">
        <f t="shared" si="15"/>
        <v>-64.316666666666663</v>
      </c>
      <c r="O29" s="5">
        <f t="shared" si="16"/>
        <v>1.3301722946044907</v>
      </c>
      <c r="P29" s="5">
        <f t="shared" si="17"/>
        <v>-4.2966666666666598</v>
      </c>
    </row>
    <row r="30" spans="1:16" ht="18" customHeight="1">
      <c r="A30" s="2" t="s">
        <v>2</v>
      </c>
      <c r="B30" s="3">
        <v>-24.03</v>
      </c>
      <c r="C30" s="5">
        <v>-26.452999999999999</v>
      </c>
      <c r="D30" s="5">
        <v>-26.664999999999999</v>
      </c>
      <c r="E30" s="5">
        <v>-26.216999999999999</v>
      </c>
      <c r="F30" s="5">
        <f t="shared" si="13"/>
        <v>-26.444999999999997</v>
      </c>
      <c r="G30" s="5">
        <f t="shared" si="14"/>
        <v>0.22410711724530322</v>
      </c>
      <c r="H30" s="5"/>
      <c r="I30" s="5"/>
      <c r="K30" s="27">
        <f>(13*C30-3*(-17.15)-5*(-32.28))/5</f>
        <v>-26.207800000000002</v>
      </c>
      <c r="L30" s="27">
        <f>(13*D30-3*(-17.15)-5*(-32.28))/5</f>
        <v>-26.758999999999997</v>
      </c>
      <c r="M30" s="27">
        <f>(13*E30-3*(-17.15)-5*(-32.28))/5</f>
        <v>-25.594199999999994</v>
      </c>
      <c r="N30" s="5">
        <f t="shared" si="15"/>
        <v>-26.186999999999998</v>
      </c>
      <c r="O30" s="5">
        <f t="shared" si="16"/>
        <v>0.5826785048377896</v>
      </c>
      <c r="P30" s="5">
        <f t="shared" si="17"/>
        <v>-2.1569999999999965</v>
      </c>
    </row>
    <row r="31" spans="1:16" ht="18" customHeight="1">
      <c r="A31" s="2" t="s">
        <v>3</v>
      </c>
      <c r="B31" s="3">
        <v>-28.36</v>
      </c>
      <c r="C31" s="5">
        <v>-27.321000000000002</v>
      </c>
      <c r="D31" s="5">
        <v>-27.221</v>
      </c>
      <c r="E31" s="5">
        <v>-27.417000000000002</v>
      </c>
      <c r="F31" s="5">
        <f t="shared" si="13"/>
        <v>-27.319666666666667</v>
      </c>
      <c r="G31" s="5">
        <f t="shared" si="14"/>
        <v>9.8006802484998365E-2</v>
      </c>
      <c r="H31" s="5"/>
      <c r="I31" s="5"/>
      <c r="K31" s="27">
        <f t="shared" ref="K31:M32" si="18">(14*C31-3*(-17.15)-5*(-32.28))/6</f>
        <v>-28.274000000000004</v>
      </c>
      <c r="L31" s="27">
        <f t="shared" si="18"/>
        <v>-28.040666666666667</v>
      </c>
      <c r="M31" s="27">
        <f t="shared" si="18"/>
        <v>-28.498000000000005</v>
      </c>
      <c r="N31" s="5">
        <f t="shared" si="15"/>
        <v>-28.270888888888891</v>
      </c>
      <c r="O31" s="5">
        <f t="shared" si="16"/>
        <v>0.22868253913166345</v>
      </c>
      <c r="P31" s="5">
        <f t="shared" si="17"/>
        <v>8.9111111111108698E-2</v>
      </c>
    </row>
    <row r="32" spans="1:16" ht="18" customHeight="1">
      <c r="A32" s="2" t="s">
        <v>4</v>
      </c>
      <c r="B32" s="3">
        <v>-28.85</v>
      </c>
      <c r="C32" s="5">
        <v>-27.962</v>
      </c>
      <c r="D32" s="5">
        <v>-27.488</v>
      </c>
      <c r="E32" s="5">
        <v>-27.210999999999999</v>
      </c>
      <c r="F32" s="5">
        <f t="shared" si="13"/>
        <v>-27.553666666666668</v>
      </c>
      <c r="G32" s="5">
        <f t="shared" si="14"/>
        <v>0.37978195498645501</v>
      </c>
      <c r="H32" s="5"/>
      <c r="I32" s="5"/>
      <c r="K32" s="27">
        <f t="shared" si="18"/>
        <v>-29.769666666666669</v>
      </c>
      <c r="L32" s="27">
        <f t="shared" si="18"/>
        <v>-28.663666666666668</v>
      </c>
      <c r="M32" s="27">
        <f t="shared" si="18"/>
        <v>-28.017333333333326</v>
      </c>
      <c r="N32" s="5">
        <f t="shared" si="15"/>
        <v>-28.816888888888887</v>
      </c>
      <c r="O32" s="5">
        <f t="shared" si="16"/>
        <v>0.88615789496839836</v>
      </c>
      <c r="P32" s="5">
        <f t="shared" si="17"/>
        <v>3.3111111111114866E-2</v>
      </c>
    </row>
    <row r="33" spans="1:16" ht="18" customHeight="1">
      <c r="A33" s="2" t="s">
        <v>5</v>
      </c>
      <c r="B33" s="3">
        <v>-23.95</v>
      </c>
      <c r="C33" s="5">
        <v>-23.460999999999999</v>
      </c>
      <c r="D33" s="5">
        <v>-23.596</v>
      </c>
      <c r="E33" s="5">
        <v>-23.774000000000001</v>
      </c>
      <c r="F33" s="5">
        <f t="shared" si="13"/>
        <v>-23.610333333333333</v>
      </c>
      <c r="G33" s="5">
        <f t="shared" si="14"/>
        <v>0.15699150720129321</v>
      </c>
      <c r="H33" s="5">
        <v>-19.524111111111097</v>
      </c>
      <c r="I33" s="5">
        <v>-28.242066666666688</v>
      </c>
      <c r="K33" s="27">
        <f>(15*C33-6*(-17.15)-5*(-32.28))/4</f>
        <v>-21.903749999999995</v>
      </c>
      <c r="L33" s="27">
        <f>(15*D33-6*(-17.15)-5*(-32.28))/4</f>
        <v>-22.410000000000004</v>
      </c>
      <c r="M33" s="27">
        <f>(15*E33-6*(-17.15)-5*(-32.28))/4</f>
        <v>-23.077500000000008</v>
      </c>
      <c r="N33" s="5">
        <f t="shared" si="15"/>
        <v>-22.463750000000005</v>
      </c>
      <c r="O33" s="5">
        <f t="shared" si="16"/>
        <v>0.58871815200485134</v>
      </c>
      <c r="P33" s="5">
        <f t="shared" si="17"/>
        <v>1.4862499999999947</v>
      </c>
    </row>
    <row r="34" spans="1:16" ht="18" customHeight="1">
      <c r="A34" s="2" t="s">
        <v>6</v>
      </c>
      <c r="B34" s="3">
        <v>-29.4</v>
      </c>
      <c r="C34" s="5">
        <v>-26.056000000000001</v>
      </c>
      <c r="D34" s="5">
        <v>-26.515999999999998</v>
      </c>
      <c r="E34" s="5">
        <v>-27.207999999999998</v>
      </c>
      <c r="F34" s="5">
        <f t="shared" si="13"/>
        <v>-26.593333333333334</v>
      </c>
      <c r="G34" s="5">
        <f t="shared" si="14"/>
        <v>0.57988044744872369</v>
      </c>
      <c r="H34" s="5"/>
      <c r="I34" s="5"/>
      <c r="K34" s="27">
        <f>(13*C34-3*(-17.15)-5*(-32.28))/5</f>
        <v>-25.175600000000003</v>
      </c>
      <c r="L34" s="27">
        <f>(13*D34-3*(-17.15)-5*(-32.28))/5</f>
        <v>-26.371599999999994</v>
      </c>
      <c r="M34" s="27">
        <f>(13*E34-3*(-17.15)-5*(-32.28))/5</f>
        <v>-28.170799999999993</v>
      </c>
      <c r="N34" s="5">
        <f t="shared" si="15"/>
        <v>-26.572666666666663</v>
      </c>
      <c r="O34" s="5">
        <f t="shared" si="16"/>
        <v>1.5076891633666798</v>
      </c>
      <c r="P34" s="5">
        <f t="shared" si="17"/>
        <v>2.8273333333333355</v>
      </c>
    </row>
    <row r="35" spans="1:16" ht="18" customHeight="1">
      <c r="A35" s="2" t="s">
        <v>7</v>
      </c>
      <c r="B35" s="3">
        <v>-13.8</v>
      </c>
      <c r="C35" s="5">
        <v>-19.631</v>
      </c>
      <c r="D35" s="5">
        <v>-20.466999999999999</v>
      </c>
      <c r="E35" s="5">
        <v>-20.378</v>
      </c>
      <c r="F35" s="5">
        <f t="shared" si="13"/>
        <v>-20.158666666666665</v>
      </c>
      <c r="G35" s="5">
        <f t="shared" si="14"/>
        <v>0.45913433037982782</v>
      </c>
      <c r="H35" s="5"/>
      <c r="I35" s="5"/>
      <c r="K35" s="27">
        <f>(16*C35-6*(-17.15)-5*(-32.28))/5</f>
        <v>-9.9592000000000045</v>
      </c>
      <c r="L35" s="27">
        <f>(16*D35-6*(-17.15)-5*(-32.28))/5</f>
        <v>-12.634399999999999</v>
      </c>
      <c r="M35" s="27">
        <f>(16*E35-6*(-17.15)-5*(-32.28))/5</f>
        <v>-12.349600000000004</v>
      </c>
      <c r="N35" s="5">
        <f t="shared" si="15"/>
        <v>-11.647733333333335</v>
      </c>
      <c r="O35" s="5">
        <f t="shared" si="16"/>
        <v>1.4692298572154616</v>
      </c>
      <c r="P35" s="5">
        <f t="shared" si="17"/>
        <v>2.1522666666666659</v>
      </c>
    </row>
    <row r="36" spans="1:16" ht="18" customHeight="1">
      <c r="A36" s="2" t="s">
        <v>8</v>
      </c>
      <c r="B36" s="3">
        <v>-11.2</v>
      </c>
      <c r="C36" s="5">
        <v>-17.623000000000001</v>
      </c>
      <c r="D36" s="5">
        <v>-17.388000000000002</v>
      </c>
      <c r="E36" s="5">
        <v>-18.033000000000001</v>
      </c>
      <c r="F36" s="5">
        <f t="shared" si="13"/>
        <v>-17.681333333333335</v>
      </c>
      <c r="G36" s="5">
        <f t="shared" si="14"/>
        <v>0.3264327393711195</v>
      </c>
      <c r="H36" s="5"/>
      <c r="I36" s="5"/>
      <c r="K36" s="27">
        <f>(17*C36-3*(-17.15)-5*(-32.28))/9</f>
        <v>-9.6378888888888898</v>
      </c>
      <c r="L36" s="27">
        <f>(17*D36-3*(-17.15)-5*(-32.28))/9</f>
        <v>-9.1940000000000008</v>
      </c>
      <c r="M36" s="27">
        <f>(17*E36-3*(-17.15)-5*(-32.28))/9</f>
        <v>-10.412333333333338</v>
      </c>
      <c r="N36" s="5">
        <f t="shared" si="15"/>
        <v>-9.7480740740740757</v>
      </c>
      <c r="O36" s="5">
        <f t="shared" si="16"/>
        <v>0.61659517436767253</v>
      </c>
      <c r="P36" s="5">
        <f t="shared" si="17"/>
        <v>1.4519259259259236</v>
      </c>
    </row>
    <row r="37" spans="1:16" ht="18" customHeight="1">
      <c r="A37" s="2" t="s">
        <v>45</v>
      </c>
      <c r="B37" s="3">
        <v>-12.66</v>
      </c>
      <c r="C37" s="5">
        <v>-24.763000000000002</v>
      </c>
      <c r="D37" s="5">
        <v>-24.928000000000001</v>
      </c>
      <c r="E37" s="5">
        <v>-24.763000000000002</v>
      </c>
      <c r="F37" s="5">
        <f t="shared" si="13"/>
        <v>-24.818000000000001</v>
      </c>
      <c r="G37" s="5">
        <f t="shared" si="14"/>
        <v>9.5262794416287752E-2</v>
      </c>
      <c r="H37" s="5"/>
      <c r="I37" s="5"/>
      <c r="K37" s="27">
        <f>(18*C37-3*(-17.15)-10*(-32.28))/5</f>
        <v>-14.296800000000008</v>
      </c>
      <c r="L37" s="27">
        <f>(18*D37-3*(-17.15)-10*(-32.28))/5</f>
        <v>-14.890800000000002</v>
      </c>
      <c r="M37" s="27">
        <f>(18*E37-3*(-17.15)-10*(-32.28))/5</f>
        <v>-14.296800000000008</v>
      </c>
      <c r="N37" s="5">
        <f t="shared" si="15"/>
        <v>-14.494800000000007</v>
      </c>
      <c r="O37" s="5">
        <f t="shared" si="16"/>
        <v>0.3429460598986343</v>
      </c>
      <c r="P37" s="5">
        <f t="shared" si="17"/>
        <v>-1.8348000000000066</v>
      </c>
    </row>
    <row r="38" spans="1:16" ht="18" customHeight="1">
      <c r="A38" s="13" t="s">
        <v>21</v>
      </c>
      <c r="B38" s="4"/>
      <c r="C38" s="12"/>
      <c r="D38" s="12"/>
      <c r="E38" s="12"/>
      <c r="F38" s="12"/>
      <c r="G38" s="12"/>
      <c r="H38" s="14"/>
      <c r="I38" s="14"/>
      <c r="K38" s="12"/>
      <c r="L38" s="12"/>
      <c r="M38" s="12"/>
      <c r="N38" s="12"/>
      <c r="O38" s="12"/>
      <c r="P38" s="4"/>
    </row>
    <row r="39" spans="1:16" ht="18" customHeight="1">
      <c r="A39" s="2" t="s">
        <v>0</v>
      </c>
      <c r="B39" s="3">
        <v>-17.93</v>
      </c>
      <c r="C39" s="5">
        <v>-24.265999999999998</v>
      </c>
      <c r="D39" s="5">
        <v>-24.306999999999999</v>
      </c>
      <c r="E39" s="5">
        <v>-23.934000000000001</v>
      </c>
      <c r="F39" s="5">
        <f t="shared" ref="F39:F48" si="19">AVERAGE(C39:E39)</f>
        <v>-24.168999999999997</v>
      </c>
      <c r="G39" s="5">
        <f t="shared" ref="G39:G48" si="20">STDEV(C39:E39)</f>
        <v>0.20454583838347676</v>
      </c>
      <c r="H39" s="5">
        <v>-13.362777777777779</v>
      </c>
      <c r="I39" s="5">
        <v>-34.396133333333339</v>
      </c>
      <c r="K39" s="27">
        <f>(11*C39-3*(-15.78)-5*(-32.21))/3</f>
        <v>-19.51199999999999</v>
      </c>
      <c r="L39" s="27">
        <f>(11*D39-3*(-15.78)-5*(-32.21))/3</f>
        <v>-19.662333333333333</v>
      </c>
      <c r="M39" s="27">
        <f>(11*E39-3*(-15.78)-5*(-32.21))/3</f>
        <v>-18.294666666666661</v>
      </c>
      <c r="N39" s="5">
        <f t="shared" ref="N39:N48" si="21">AVERAGE(K39:M39)</f>
        <v>-19.156333333333325</v>
      </c>
      <c r="O39" s="5">
        <f t="shared" ref="O39:O48" si="22">STDEV(K39:M39)</f>
        <v>0.75000140740608756</v>
      </c>
      <c r="P39" s="5">
        <f t="shared" ref="P39:P48" si="23">N39-B39</f>
        <v>-1.2263333333333257</v>
      </c>
    </row>
    <row r="40" spans="1:16" ht="18" customHeight="1">
      <c r="A40" s="2" t="s">
        <v>1</v>
      </c>
      <c r="B40" s="3">
        <v>-60.02</v>
      </c>
      <c r="C40" s="5">
        <v>-33.143000000000001</v>
      </c>
      <c r="D40" s="5">
        <v>-33.564</v>
      </c>
      <c r="E40" s="5">
        <v>-33.53</v>
      </c>
      <c r="F40" s="5">
        <f t="shared" si="19"/>
        <v>-33.412333333333329</v>
      </c>
      <c r="G40" s="5">
        <f t="shared" si="20"/>
        <v>0.23386819649822693</v>
      </c>
      <c r="H40" s="5">
        <v>-15.378622222222177</v>
      </c>
      <c r="I40" s="5">
        <v>-33.589493333333344</v>
      </c>
      <c r="K40" s="27">
        <f>(10*C40-3*(-15.78)-5*(-32.21))/2</f>
        <v>-61.52000000000001</v>
      </c>
      <c r="L40" s="27">
        <f>(10*D40-3*(-15.78)-5*(-32.21))/2</f>
        <v>-63.625</v>
      </c>
      <c r="M40" s="27">
        <f>(10*E40-3*(-15.78)-5*(-32.21))/2</f>
        <v>-63.455000000000013</v>
      </c>
      <c r="N40" s="5">
        <f t="shared" si="21"/>
        <v>-62.866666666666674</v>
      </c>
      <c r="O40" s="5">
        <f t="shared" si="22"/>
        <v>1.1693409824911325</v>
      </c>
      <c r="P40" s="5">
        <f t="shared" si="23"/>
        <v>-2.8466666666666711</v>
      </c>
    </row>
    <row r="41" spans="1:16" ht="18" customHeight="1">
      <c r="A41" s="2" t="s">
        <v>2</v>
      </c>
      <c r="B41" s="3">
        <v>-24.03</v>
      </c>
      <c r="C41" s="5">
        <v>-25.626999999999999</v>
      </c>
      <c r="D41" s="5">
        <v>-25.834</v>
      </c>
      <c r="E41" s="5">
        <v>-25.878</v>
      </c>
      <c r="F41" s="5">
        <f t="shared" si="19"/>
        <v>-25.779666666666667</v>
      </c>
      <c r="G41" s="5">
        <f t="shared" si="20"/>
        <v>0.13403109092047821</v>
      </c>
      <c r="H41" s="5"/>
      <c r="I41" s="5"/>
      <c r="K41" s="27">
        <f>(13*C41-3*(-15.78)-5*(-32.21))/5</f>
        <v>-24.952200000000005</v>
      </c>
      <c r="L41" s="27">
        <f>(13*D41-3*(-15.78)-5*(-32.21))/5</f>
        <v>-25.490400000000001</v>
      </c>
      <c r="M41" s="27">
        <f>(13*E41-3*(-15.78)-5*(-32.21))/5</f>
        <v>-25.604800000000001</v>
      </c>
      <c r="N41" s="5">
        <f t="shared" si="21"/>
        <v>-25.349133333333338</v>
      </c>
      <c r="O41" s="5">
        <f t="shared" si="22"/>
        <v>0.34848083639323957</v>
      </c>
      <c r="P41" s="5">
        <f t="shared" si="23"/>
        <v>-1.3191333333333368</v>
      </c>
    </row>
    <row r="42" spans="1:16" ht="18" customHeight="1">
      <c r="A42" s="2" t="s">
        <v>3</v>
      </c>
      <c r="B42" s="3">
        <v>-28.36</v>
      </c>
      <c r="C42" s="5">
        <v>-26.565000000000001</v>
      </c>
      <c r="D42" s="5">
        <v>-26.675999999999998</v>
      </c>
      <c r="E42" s="5">
        <v>-26.193000000000001</v>
      </c>
      <c r="F42" s="5">
        <f t="shared" si="19"/>
        <v>-26.477999999999998</v>
      </c>
      <c r="G42" s="5">
        <f t="shared" si="20"/>
        <v>0.25298023638221107</v>
      </c>
      <c r="H42" s="5"/>
      <c r="I42" s="5"/>
      <c r="K42" s="27">
        <f t="shared" ref="K42:M43" si="24">(14*C42-3*(-15.78)-5*(-32.21))/6</f>
        <v>-27.253333333333341</v>
      </c>
      <c r="L42" s="27">
        <f t="shared" si="24"/>
        <v>-27.512333333333334</v>
      </c>
      <c r="M42" s="27">
        <f t="shared" si="24"/>
        <v>-26.385333333333335</v>
      </c>
      <c r="N42" s="5">
        <f t="shared" si="21"/>
        <v>-27.050333333333338</v>
      </c>
      <c r="O42" s="5">
        <f t="shared" si="22"/>
        <v>0.5902872182251625</v>
      </c>
      <c r="P42" s="5">
        <f t="shared" si="23"/>
        <v>1.3096666666666614</v>
      </c>
    </row>
    <row r="43" spans="1:16" ht="18" customHeight="1">
      <c r="A43" s="2" t="s">
        <v>4</v>
      </c>
      <c r="B43" s="3">
        <v>-28.85</v>
      </c>
      <c r="C43" s="5">
        <v>-27.137</v>
      </c>
      <c r="D43" s="5">
        <v>-27.036999999999999</v>
      </c>
      <c r="E43" s="5">
        <v>-26.838999999999999</v>
      </c>
      <c r="F43" s="5">
        <f t="shared" si="19"/>
        <v>-27.004333333333335</v>
      </c>
      <c r="G43" s="5">
        <f t="shared" si="20"/>
        <v>0.15166190468714807</v>
      </c>
      <c r="H43" s="5"/>
      <c r="I43" s="5"/>
      <c r="K43" s="27">
        <f t="shared" si="24"/>
        <v>-28.588000000000005</v>
      </c>
      <c r="L43" s="27">
        <f t="shared" si="24"/>
        <v>-28.354666666666663</v>
      </c>
      <c r="M43" s="27">
        <f t="shared" si="24"/>
        <v>-27.892666666666667</v>
      </c>
      <c r="N43" s="5">
        <f t="shared" si="21"/>
        <v>-28.278444444444446</v>
      </c>
      <c r="O43" s="5">
        <f t="shared" si="22"/>
        <v>0.35387777760334499</v>
      </c>
      <c r="P43" s="5">
        <f t="shared" si="23"/>
        <v>0.57155555555555537</v>
      </c>
    </row>
    <row r="44" spans="1:16" ht="18" customHeight="1">
      <c r="A44" s="2" t="s">
        <v>5</v>
      </c>
      <c r="B44" s="3">
        <v>-23.95</v>
      </c>
      <c r="C44" s="5">
        <v>-23.568999999999999</v>
      </c>
      <c r="D44" s="5">
        <v>-23.141999999999999</v>
      </c>
      <c r="E44" s="5">
        <v>-23.398</v>
      </c>
      <c r="F44" s="5">
        <f t="shared" si="19"/>
        <v>-23.369666666666664</v>
      </c>
      <c r="G44" s="5">
        <f t="shared" si="20"/>
        <v>0.21490540554702961</v>
      </c>
      <c r="H44" s="5">
        <v>-18.598066666666639</v>
      </c>
      <c r="I44" s="5">
        <v>-28.631320000000024</v>
      </c>
      <c r="K44" s="27">
        <f>(15*C44-6*(-15.78)-5*(-32.21))/4</f>
        <v>-24.451249999999987</v>
      </c>
      <c r="L44" s="27">
        <f>(15*D44-6*(-15.78)-5*(-32.21))/4</f>
        <v>-22.849999999999994</v>
      </c>
      <c r="M44" s="27">
        <f>(15*E44-6*(-15.78)-5*(-32.21))/4</f>
        <v>-23.809999999999988</v>
      </c>
      <c r="N44" s="5">
        <f t="shared" si="21"/>
        <v>-23.703749999999989</v>
      </c>
      <c r="O44" s="5">
        <f t="shared" si="22"/>
        <v>0.80589527080135803</v>
      </c>
      <c r="P44" s="5">
        <f t="shared" si="23"/>
        <v>0.24625000000001052</v>
      </c>
    </row>
    <row r="45" spans="1:16" ht="18" customHeight="1">
      <c r="A45" s="2" t="s">
        <v>6</v>
      </c>
      <c r="B45" s="3">
        <v>-29.4</v>
      </c>
      <c r="C45" s="5">
        <v>-26.736000000000001</v>
      </c>
      <c r="D45" s="5">
        <v>-26.745999999999999</v>
      </c>
      <c r="E45" s="5">
        <v>-26.279</v>
      </c>
      <c r="F45" s="5">
        <f t="shared" si="19"/>
        <v>-26.587</v>
      </c>
      <c r="G45" s="5">
        <f t="shared" si="20"/>
        <v>0.2667826830961858</v>
      </c>
      <c r="H45" s="5"/>
      <c r="I45" s="5"/>
      <c r="K45" s="27">
        <f>(13*C45-3*(-15.78)-5*(-32.21))/5</f>
        <v>-27.835599999999999</v>
      </c>
      <c r="L45" s="27">
        <f>(13*D45-3*(-15.78)-5*(-32.21))/5</f>
        <v>-27.861599999999999</v>
      </c>
      <c r="M45" s="27">
        <f>(13*E45-3*(-15.78)-5*(-32.21))/5</f>
        <v>-26.647400000000005</v>
      </c>
      <c r="N45" s="5">
        <f t="shared" si="21"/>
        <v>-27.4482</v>
      </c>
      <c r="O45" s="5">
        <f t="shared" si="22"/>
        <v>0.69363497605008051</v>
      </c>
      <c r="P45" s="5">
        <f t="shared" si="23"/>
        <v>1.9517999999999986</v>
      </c>
    </row>
    <row r="46" spans="1:16" ht="18" customHeight="1">
      <c r="A46" s="2" t="s">
        <v>7</v>
      </c>
      <c r="B46" s="3">
        <v>-13.8</v>
      </c>
      <c r="C46" s="5">
        <v>-20.431999999999999</v>
      </c>
      <c r="D46" s="5">
        <v>-19.966999999999999</v>
      </c>
      <c r="E46" s="5">
        <v>-19.818000000000001</v>
      </c>
      <c r="F46" s="5">
        <f t="shared" si="19"/>
        <v>-20.072333333333333</v>
      </c>
      <c r="G46" s="5">
        <f t="shared" si="20"/>
        <v>0.32026603524778052</v>
      </c>
      <c r="H46" s="5"/>
      <c r="I46" s="5"/>
      <c r="K46" s="27">
        <f>(16*C46-6*(-15.78)-5*(-32.21))/5</f>
        <v>-14.236399999999993</v>
      </c>
      <c r="L46" s="27">
        <f>(16*D46-6*(-15.78)-5*(-32.21))/5</f>
        <v>-12.748399999999993</v>
      </c>
      <c r="M46" s="27">
        <f>(16*E46-6*(-15.78)-5*(-32.21))/5</f>
        <v>-12.271600000000001</v>
      </c>
      <c r="N46" s="5">
        <f t="shared" si="21"/>
        <v>-13.085466666666662</v>
      </c>
      <c r="O46" s="5">
        <f t="shared" si="22"/>
        <v>1.024851312792898</v>
      </c>
      <c r="P46" s="5">
        <f t="shared" si="23"/>
        <v>0.71453333333333902</v>
      </c>
    </row>
    <row r="47" spans="1:16" ht="18" customHeight="1">
      <c r="A47" s="2" t="s">
        <v>8</v>
      </c>
      <c r="B47" s="3">
        <v>-11.2</v>
      </c>
      <c r="C47" s="5">
        <v>-17.428999999999998</v>
      </c>
      <c r="D47" s="5">
        <v>-17.100999999999999</v>
      </c>
      <c r="E47" s="5">
        <v>-18.3672</v>
      </c>
      <c r="F47" s="5">
        <f t="shared" si="19"/>
        <v>-17.632400000000001</v>
      </c>
      <c r="G47" s="5">
        <f t="shared" si="20"/>
        <v>0.65714859811156945</v>
      </c>
      <c r="H47" s="5"/>
      <c r="I47" s="5"/>
      <c r="K47" s="27">
        <f>(17*C47-3*(-15.78)-5*(-32.21))/9</f>
        <v>-9.7669999999999924</v>
      </c>
      <c r="L47" s="27">
        <f>(17*D47-3*(-15.78)-5*(-32.21))/9</f>
        <v>-9.1474444444444405</v>
      </c>
      <c r="M47" s="27">
        <f>(17*E47-3*(-15.78)-5*(-32.21))/9</f>
        <v>-11.53915555555556</v>
      </c>
      <c r="N47" s="5">
        <f t="shared" si="21"/>
        <v>-10.151199999999998</v>
      </c>
      <c r="O47" s="5">
        <f t="shared" si="22"/>
        <v>1.241280685321857</v>
      </c>
      <c r="P47" s="5">
        <f t="shared" si="23"/>
        <v>1.0488000000000017</v>
      </c>
    </row>
    <row r="48" spans="1:16" ht="18" customHeight="1">
      <c r="A48" s="2" t="s">
        <v>45</v>
      </c>
      <c r="B48" s="3">
        <v>-12.66</v>
      </c>
      <c r="C48" s="5">
        <v>-24.677800000000001</v>
      </c>
      <c r="D48" s="5">
        <v>-24.431999999999999</v>
      </c>
      <c r="E48" s="5">
        <v>-25.111999999999998</v>
      </c>
      <c r="F48" s="5">
        <f t="shared" si="19"/>
        <v>-24.740600000000001</v>
      </c>
      <c r="G48" s="5">
        <f t="shared" si="20"/>
        <v>0.34432234896968239</v>
      </c>
      <c r="H48" s="5"/>
      <c r="I48" s="5"/>
      <c r="K48" s="27">
        <f>(18*C48-3*(-15.78)-10*(-32.21))/5</f>
        <v>-14.95208</v>
      </c>
      <c r="L48" s="27">
        <f>(18*D48-3*(-15.78)-10*(-32.21))/5</f>
        <v>-14.067199999999991</v>
      </c>
      <c r="M48" s="27">
        <f>(18*E48-3*(-15.78)-10*(-32.21))/5</f>
        <v>-16.515199999999993</v>
      </c>
      <c r="N48" s="5">
        <f t="shared" si="21"/>
        <v>-15.178159999999997</v>
      </c>
      <c r="O48" s="5">
        <f t="shared" si="22"/>
        <v>1.2395604562908582</v>
      </c>
      <c r="P48" s="5">
        <f t="shared" si="23"/>
        <v>-2.5181599999999964</v>
      </c>
    </row>
    <row r="49" spans="1:16" ht="18" customHeight="1">
      <c r="A49" s="13" t="s">
        <v>22</v>
      </c>
      <c r="B49" s="4"/>
      <c r="C49" s="12"/>
      <c r="D49" s="12"/>
      <c r="E49" s="12"/>
      <c r="F49" s="12"/>
      <c r="G49" s="12"/>
      <c r="H49" s="14"/>
      <c r="I49" s="14"/>
      <c r="K49" s="12"/>
      <c r="L49" s="12"/>
      <c r="M49" s="12"/>
      <c r="N49" s="12"/>
      <c r="O49" s="12"/>
      <c r="P49" s="4"/>
    </row>
    <row r="50" spans="1:16" ht="18" customHeight="1">
      <c r="A50" s="2" t="s">
        <v>0</v>
      </c>
      <c r="B50" s="3">
        <v>-17.93</v>
      </c>
      <c r="C50" s="5">
        <v>-24.477</v>
      </c>
      <c r="D50" s="5">
        <v>-23.753</v>
      </c>
      <c r="E50" s="5">
        <v>-24.231999999999999</v>
      </c>
      <c r="F50" s="5">
        <f t="shared" ref="F50:F59" si="25">AVERAGE(C50:E50)</f>
        <v>-24.154</v>
      </c>
      <c r="G50" s="5">
        <f t="shared" ref="G50:G59" si="26">STDEV(C50:E50)</f>
        <v>0.36824855736309409</v>
      </c>
      <c r="H50" s="5">
        <v>-14.187555555555534</v>
      </c>
      <c r="I50" s="5">
        <v>-33.868266666666685</v>
      </c>
      <c r="K50" s="27">
        <f>(11*C50-3*(-15.1)-5*(-33.03))/3</f>
        <v>-19.599</v>
      </c>
      <c r="L50" s="27">
        <f>(11*D50-3*(-15.1)-5*(-33.03))/3</f>
        <v>-16.944333333333333</v>
      </c>
      <c r="M50" s="27">
        <f>(11*E50-3*(-15.1)-5*(-33.03))/3</f>
        <v>-18.700666666666667</v>
      </c>
      <c r="N50" s="5">
        <f t="shared" ref="N50:N59" si="27">AVERAGE(K50:M50)</f>
        <v>-18.414666666666665</v>
      </c>
      <c r="O50" s="5">
        <f t="shared" ref="O50:O59" si="28">STDEV(K50:M50)</f>
        <v>1.3502447103313453</v>
      </c>
      <c r="P50" s="5">
        <f t="shared" ref="P50:P59" si="29">N50-B50</f>
        <v>-0.48466666666666569</v>
      </c>
    </row>
    <row r="51" spans="1:16" ht="18" customHeight="1">
      <c r="A51" s="2" t="s">
        <v>1</v>
      </c>
      <c r="B51" s="3">
        <v>-60.02</v>
      </c>
      <c r="C51" s="5">
        <v>-32.962000000000003</v>
      </c>
      <c r="D51" s="5">
        <v>-33.545999999999999</v>
      </c>
      <c r="E51" s="5">
        <v>-33.347000000000001</v>
      </c>
      <c r="F51" s="5">
        <f t="shared" si="25"/>
        <v>-33.285000000000004</v>
      </c>
      <c r="G51" s="5">
        <f t="shared" si="26"/>
        <v>0.29689560454812874</v>
      </c>
      <c r="H51" s="5">
        <v>-15.263333333333364</v>
      </c>
      <c r="I51" s="5">
        <v>-33.403999999999989</v>
      </c>
      <c r="K51" s="27">
        <f>(10*C51-3*(-15.1)-5*(-33.03))/2</f>
        <v>-59.584999999999994</v>
      </c>
      <c r="L51" s="27">
        <f>(10*D51-3*(-15.1)-5*(-33.03))/2</f>
        <v>-62.504999999999981</v>
      </c>
      <c r="M51" s="27">
        <f>(10*E51-3*(-15.1)-5*(-33.03))/2</f>
        <v>-61.510000000000005</v>
      </c>
      <c r="N51" s="5">
        <f t="shared" si="27"/>
        <v>-61.199999999999989</v>
      </c>
      <c r="O51" s="5">
        <f t="shared" si="28"/>
        <v>1.4844780227406491</v>
      </c>
      <c r="P51" s="5">
        <f t="shared" si="29"/>
        <v>-1.1799999999999855</v>
      </c>
    </row>
    <row r="52" spans="1:16" ht="18" customHeight="1">
      <c r="A52" s="2" t="s">
        <v>2</v>
      </c>
      <c r="B52" s="3">
        <v>-24.03</v>
      </c>
      <c r="C52" s="5">
        <v>-25.877600000000001</v>
      </c>
      <c r="D52" s="5">
        <v>-25.664999999999999</v>
      </c>
      <c r="E52" s="5">
        <v>-25.582999999999998</v>
      </c>
      <c r="F52" s="5">
        <f t="shared" si="25"/>
        <v>-25.708533333333332</v>
      </c>
      <c r="G52" s="5">
        <f t="shared" si="26"/>
        <v>0.15204819411401685</v>
      </c>
      <c r="H52" s="5"/>
      <c r="I52" s="5"/>
      <c r="K52" s="27">
        <f>(13*C52-3*(-15.1)-5*(-33.03))/5</f>
        <v>-25.191760000000006</v>
      </c>
      <c r="L52" s="27">
        <f>(13*D52-3*(-15.1)-5*(-33.03))/5</f>
        <v>-24.638999999999992</v>
      </c>
      <c r="M52" s="27">
        <f>(13*E52-3*(-15.1)-5*(-33.03))/5</f>
        <v>-24.425799999999988</v>
      </c>
      <c r="N52" s="5">
        <f t="shared" si="27"/>
        <v>-24.75218666666666</v>
      </c>
      <c r="O52" s="5">
        <f t="shared" si="28"/>
        <v>0.39532530469644944</v>
      </c>
      <c r="P52" s="5">
        <f t="shared" si="29"/>
        <v>-0.72218666666665854</v>
      </c>
    </row>
    <row r="53" spans="1:16" ht="18" customHeight="1">
      <c r="A53" s="2" t="s">
        <v>3</v>
      </c>
      <c r="B53" s="3">
        <v>-28.36</v>
      </c>
      <c r="C53" s="5">
        <v>-27.382999999999999</v>
      </c>
      <c r="D53" s="5">
        <v>-26.893999999999998</v>
      </c>
      <c r="E53" s="5">
        <v>-26.812000000000001</v>
      </c>
      <c r="F53" s="5">
        <f t="shared" si="25"/>
        <v>-27.029666666666667</v>
      </c>
      <c r="G53" s="5">
        <f t="shared" si="26"/>
        <v>0.30873019504631061</v>
      </c>
      <c r="H53" s="5"/>
      <c r="I53" s="5"/>
      <c r="K53" s="27">
        <f t="shared" ref="K53:M54" si="30">(14*C53-3*(-15.1)-5*(-33.03))/6</f>
        <v>-28.818666666666658</v>
      </c>
      <c r="L53" s="27">
        <f t="shared" si="30"/>
        <v>-27.677666666666656</v>
      </c>
      <c r="M53" s="27">
        <f t="shared" si="30"/>
        <v>-27.486333333333331</v>
      </c>
      <c r="N53" s="5">
        <f t="shared" si="27"/>
        <v>-27.994222222222216</v>
      </c>
      <c r="O53" s="5">
        <f t="shared" si="28"/>
        <v>0.72037045510805775</v>
      </c>
      <c r="P53" s="5">
        <f t="shared" si="29"/>
        <v>0.36577777777778309</v>
      </c>
    </row>
    <row r="54" spans="1:16" ht="18" customHeight="1">
      <c r="A54" s="2" t="s">
        <v>4</v>
      </c>
      <c r="B54" s="3">
        <v>-28.85</v>
      </c>
      <c r="C54" s="5">
        <v>-27.262</v>
      </c>
      <c r="D54" s="5">
        <v>-27.231000000000002</v>
      </c>
      <c r="E54" s="5">
        <v>-27.544</v>
      </c>
      <c r="F54" s="5">
        <f t="shared" si="25"/>
        <v>-27.34566666666667</v>
      </c>
      <c r="G54" s="5">
        <f t="shared" si="26"/>
        <v>0.17245965711821767</v>
      </c>
      <c r="H54" s="5"/>
      <c r="I54" s="5"/>
      <c r="K54" s="27">
        <f t="shared" si="30"/>
        <v>-28.536333333333332</v>
      </c>
      <c r="L54" s="27">
        <f t="shared" si="30"/>
        <v>-28.464000000000002</v>
      </c>
      <c r="M54" s="27">
        <f t="shared" si="30"/>
        <v>-29.194333333333329</v>
      </c>
      <c r="N54" s="5">
        <f t="shared" si="27"/>
        <v>-28.731555555555556</v>
      </c>
      <c r="O54" s="5">
        <f t="shared" si="28"/>
        <v>0.40240586660917282</v>
      </c>
      <c r="P54" s="5">
        <f t="shared" si="29"/>
        <v>0.11844444444444591</v>
      </c>
    </row>
    <row r="55" spans="1:16" ht="18" customHeight="1">
      <c r="A55" s="2" t="s">
        <v>5</v>
      </c>
      <c r="B55" s="3">
        <v>-23.95</v>
      </c>
      <c r="C55" s="5">
        <v>-23.321999999999999</v>
      </c>
      <c r="D55" s="5">
        <v>-23.347000000000001</v>
      </c>
      <c r="E55" s="5">
        <v>-23.35</v>
      </c>
      <c r="F55" s="5">
        <f t="shared" si="25"/>
        <v>-23.33966666666667</v>
      </c>
      <c r="G55" s="5">
        <f t="shared" si="26"/>
        <v>1.5373136743468204E-2</v>
      </c>
      <c r="H55" s="5">
        <v>-15.858777777777789</v>
      </c>
      <c r="I55" s="5">
        <v>-31.828466666666657</v>
      </c>
      <c r="K55" s="27">
        <f>(15*C55-6*(-15.1)-5*(-33.03))/4</f>
        <v>-23.520000000000003</v>
      </c>
      <c r="L55" s="27">
        <f>(15*D55-6*(-15.1)-5*(-33.03))/4</f>
        <v>-23.613750000000003</v>
      </c>
      <c r="M55" s="27">
        <f>(15*E55-6*(-15.1)-5*(-33.03))/4</f>
        <v>-23.624999999999993</v>
      </c>
      <c r="N55" s="5">
        <f t="shared" si="27"/>
        <v>-23.586249999999996</v>
      </c>
      <c r="O55" s="5">
        <f t="shared" si="28"/>
        <v>5.7649262787997591E-2</v>
      </c>
      <c r="P55" s="5">
        <f t="shared" si="29"/>
        <v>0.36375000000000313</v>
      </c>
    </row>
    <row r="56" spans="1:16" ht="18" customHeight="1">
      <c r="A56" s="2" t="s">
        <v>6</v>
      </c>
      <c r="B56" s="3">
        <v>-29.4</v>
      </c>
      <c r="C56" s="5">
        <v>-26.893000000000001</v>
      </c>
      <c r="D56" s="5">
        <v>-26.32</v>
      </c>
      <c r="E56" s="5">
        <v>-26.905000000000001</v>
      </c>
      <c r="F56" s="5">
        <f t="shared" si="25"/>
        <v>-26.706</v>
      </c>
      <c r="G56" s="5">
        <f t="shared" si="26"/>
        <v>0.33433964766386925</v>
      </c>
      <c r="H56" s="5"/>
      <c r="I56" s="5"/>
      <c r="K56" s="27">
        <f>(13*C56-3*(-15.1)-5*(-33.03))/5</f>
        <v>-27.831800000000005</v>
      </c>
      <c r="L56" s="27">
        <f>(13*D56-3*(-15.1)-5*(-33.03))/5</f>
        <v>-26.342000000000002</v>
      </c>
      <c r="M56" s="27">
        <f>(13*E56-3*(-15.1)-5*(-33.03))/5</f>
        <v>-27.862999999999992</v>
      </c>
      <c r="N56" s="5">
        <f t="shared" si="27"/>
        <v>-27.345600000000001</v>
      </c>
      <c r="O56" s="5">
        <f t="shared" si="28"/>
        <v>0.86928308392605691</v>
      </c>
      <c r="P56" s="5">
        <f t="shared" si="29"/>
        <v>2.0543999999999976</v>
      </c>
    </row>
    <row r="57" spans="1:16" ht="18" customHeight="1">
      <c r="A57" s="2" t="s">
        <v>7</v>
      </c>
      <c r="B57" s="3">
        <v>-13.8</v>
      </c>
      <c r="C57" s="5">
        <v>-20.178000000000001</v>
      </c>
      <c r="D57" s="5">
        <v>-20.271000000000001</v>
      </c>
      <c r="E57" s="5">
        <v>-20.201000000000001</v>
      </c>
      <c r="F57" s="5">
        <f t="shared" si="25"/>
        <v>-20.216666666666665</v>
      </c>
      <c r="G57" s="5">
        <f t="shared" si="26"/>
        <v>4.8438965031607939E-2</v>
      </c>
      <c r="H57" s="5"/>
      <c r="I57" s="5"/>
      <c r="K57" s="27">
        <f>(16*C57-6*(-15.1)-5*(-33.03))/5</f>
        <v>-13.419600000000003</v>
      </c>
      <c r="L57" s="27">
        <f>(16*D57-6*(-15.1)-5*(-33.03))/5</f>
        <v>-13.717200000000002</v>
      </c>
      <c r="M57" s="27">
        <f>(16*E57-6*(-15.1)-5*(-33.03))/5</f>
        <v>-13.493200000000002</v>
      </c>
      <c r="N57" s="5">
        <f t="shared" si="27"/>
        <v>-13.543333333333337</v>
      </c>
      <c r="O57" s="5">
        <f t="shared" si="28"/>
        <v>0.15500468810114501</v>
      </c>
      <c r="P57" s="5">
        <f t="shared" si="29"/>
        <v>0.25666666666666416</v>
      </c>
    </row>
    <row r="58" spans="1:16" ht="18" customHeight="1">
      <c r="A58" s="2" t="s">
        <v>8</v>
      </c>
      <c r="B58" s="3">
        <v>-11.2</v>
      </c>
      <c r="C58" s="5">
        <v>-17.867000000000001</v>
      </c>
      <c r="D58" s="5">
        <v>-17.989000000000001</v>
      </c>
      <c r="E58" s="5">
        <v>-18.411999999999999</v>
      </c>
      <c r="F58" s="5">
        <f t="shared" si="25"/>
        <v>-18.089333333333332</v>
      </c>
      <c r="G58" s="5">
        <f t="shared" si="26"/>
        <v>0.28601806469755153</v>
      </c>
      <c r="H58" s="5"/>
      <c r="I58" s="5"/>
      <c r="K58" s="27">
        <f>(17*C58-3*(-15.1)-5*(-33.03))/9</f>
        <v>-10.365444444444446</v>
      </c>
      <c r="L58" s="27">
        <f>(17*D58-3*(-15.1)-5*(-33.03))/9</f>
        <v>-10.595888888888886</v>
      </c>
      <c r="M58" s="27">
        <f>(17*E58-3*(-15.1)-5*(-33.03))/9</f>
        <v>-11.394888888888882</v>
      </c>
      <c r="N58" s="5">
        <f t="shared" si="27"/>
        <v>-10.785407407407405</v>
      </c>
      <c r="O58" s="5">
        <f t="shared" si="28"/>
        <v>0.54025634442870651</v>
      </c>
      <c r="P58" s="5">
        <f t="shared" si="29"/>
        <v>0.4145925925925944</v>
      </c>
    </row>
    <row r="59" spans="1:16" ht="18" customHeight="1">
      <c r="A59" s="2" t="s">
        <v>45</v>
      </c>
      <c r="B59" s="3">
        <v>-12.66</v>
      </c>
      <c r="C59" s="5">
        <v>-24.681999999999999</v>
      </c>
      <c r="D59" s="5">
        <v>-24.341000000000001</v>
      </c>
      <c r="E59" s="5">
        <v>-24.832000000000001</v>
      </c>
      <c r="F59" s="5">
        <f t="shared" si="25"/>
        <v>-24.618333333333329</v>
      </c>
      <c r="G59" s="5">
        <f t="shared" si="26"/>
        <v>0.25161544732653657</v>
      </c>
      <c r="H59" s="5"/>
      <c r="I59" s="5"/>
      <c r="K59" s="27">
        <f>(18*C59-3*(-15.1)-10*(-33.03))/5</f>
        <v>-13.735199999999987</v>
      </c>
      <c r="L59" s="27">
        <f>(18*D59-3*(-15.1)-10*(-33.03))/5</f>
        <v>-12.507600000000002</v>
      </c>
      <c r="M59" s="27">
        <f>(18*E59-3*(-15.1)-10*(-33.03))/5</f>
        <v>-14.275199999999995</v>
      </c>
      <c r="N59" s="5">
        <f t="shared" si="27"/>
        <v>-13.505999999999995</v>
      </c>
      <c r="O59" s="5">
        <f t="shared" si="28"/>
        <v>0.90581561037552827</v>
      </c>
      <c r="P59" s="5">
        <f t="shared" si="29"/>
        <v>-0.84599999999999476</v>
      </c>
    </row>
    <row r="60" spans="1:16" ht="18" customHeight="1">
      <c r="A60" s="13" t="s">
        <v>23</v>
      </c>
      <c r="B60" s="4"/>
      <c r="C60" s="12"/>
      <c r="D60" s="12"/>
      <c r="E60" s="12"/>
      <c r="F60" s="12"/>
      <c r="G60" s="12"/>
      <c r="H60" s="14"/>
      <c r="I60" s="14"/>
      <c r="K60" s="12"/>
      <c r="L60" s="12"/>
      <c r="M60" s="12"/>
      <c r="N60" s="12"/>
      <c r="O60" s="12"/>
      <c r="P60" s="4"/>
    </row>
    <row r="61" spans="1:16" ht="18" customHeight="1">
      <c r="A61" s="2" t="s">
        <v>0</v>
      </c>
      <c r="B61" s="3">
        <v>-17.93</v>
      </c>
      <c r="C61" s="5">
        <v>-24.332000000000001</v>
      </c>
      <c r="D61" s="5">
        <v>-23.712</v>
      </c>
      <c r="E61" s="5">
        <v>-24.222999999999999</v>
      </c>
      <c r="F61" s="5">
        <f t="shared" ref="F61:F70" si="31">AVERAGE(C61:E61)</f>
        <v>-24.088999999999999</v>
      </c>
      <c r="G61" s="5">
        <f t="shared" ref="G61:G70" si="32">STDEV(C61:E61)</f>
        <v>0.33100906332002472</v>
      </c>
      <c r="H61" s="5">
        <v>-13.62766666666667</v>
      </c>
      <c r="I61" s="5">
        <v>-34.061199999999999</v>
      </c>
      <c r="K61" s="27">
        <f>(11*C61-3*(-13.91)-5*(-33.54))/3</f>
        <v>-19.407333333333327</v>
      </c>
      <c r="L61" s="27">
        <f>(11*D61-3*(-13.91)-5*(-33.54))/3</f>
        <v>-17.133999999999997</v>
      </c>
      <c r="M61" s="27">
        <f>(11*E61-3*(-13.91)-5*(-33.54))/3</f>
        <v>-19.007666666666655</v>
      </c>
      <c r="N61" s="5">
        <f t="shared" ref="N61:N70" si="33">AVERAGE(K61:M61)</f>
        <v>-18.516333333333325</v>
      </c>
      <c r="O61" s="5">
        <f t="shared" ref="O61:O70" si="34">STDEV(K61:M61)</f>
        <v>1.2136998988400869</v>
      </c>
      <c r="P61" s="5">
        <f t="shared" ref="P61:P70" si="35">N61-B61</f>
        <v>-0.58633333333332516</v>
      </c>
    </row>
    <row r="62" spans="1:16" ht="18" customHeight="1">
      <c r="A62" s="2" t="s">
        <v>1</v>
      </c>
      <c r="B62" s="3">
        <v>-60.02</v>
      </c>
      <c r="C62" s="5">
        <v>-32.679000000000002</v>
      </c>
      <c r="D62" s="5">
        <v>-32.631999999999998</v>
      </c>
      <c r="E62" s="5">
        <v>-33.493000000000002</v>
      </c>
      <c r="F62" s="5">
        <f t="shared" si="31"/>
        <v>-32.934666666666665</v>
      </c>
      <c r="G62" s="5">
        <f t="shared" si="32"/>
        <v>0.48410157336382892</v>
      </c>
      <c r="H62" s="5">
        <v>-13.157777777777724</v>
      </c>
      <c r="I62" s="5">
        <v>-33.96666666666669</v>
      </c>
      <c r="K62" s="27">
        <f>(10*C62-3*(-13.91)-5*(-33.54))/2</f>
        <v>-58.680000000000007</v>
      </c>
      <c r="L62" s="27">
        <f>(10*D62-3*(-13.91)-5*(-33.54))/2</f>
        <v>-58.444999999999993</v>
      </c>
      <c r="M62" s="27">
        <f>(10*E62-3*(-13.91)-5*(-33.54))/2</f>
        <v>-62.75</v>
      </c>
      <c r="N62" s="5">
        <f t="shared" si="33"/>
        <v>-59.958333333333336</v>
      </c>
      <c r="O62" s="5">
        <f t="shared" si="34"/>
        <v>2.420507866819138</v>
      </c>
      <c r="P62" s="5">
        <f t="shared" si="35"/>
        <v>6.1666666666667425E-2</v>
      </c>
    </row>
    <row r="63" spans="1:16" ht="18" customHeight="1">
      <c r="A63" s="2" t="s">
        <v>2</v>
      </c>
      <c r="B63" s="3">
        <v>-24.03</v>
      </c>
      <c r="C63" s="5">
        <v>-25.835000000000001</v>
      </c>
      <c r="D63" s="5">
        <v>-25.138999999999999</v>
      </c>
      <c r="E63" s="5">
        <v>-25.94</v>
      </c>
      <c r="F63" s="5">
        <f t="shared" si="31"/>
        <v>-25.638000000000002</v>
      </c>
      <c r="G63" s="5">
        <f t="shared" si="32"/>
        <v>0.43532401725611336</v>
      </c>
      <c r="H63" s="5"/>
      <c r="I63" s="5"/>
      <c r="K63" s="27">
        <f>(13*C63-3*(-13.91)-5*(-33.54))/5</f>
        <v>-25.285000000000004</v>
      </c>
      <c r="L63" s="27">
        <f>(13*D63-3*(-13.91)-5*(-33.54))/5</f>
        <v>-23.4754</v>
      </c>
      <c r="M63" s="27">
        <f>(13*E63-3*(-13.91)-5*(-33.54))/5</f>
        <v>-25.558000000000003</v>
      </c>
      <c r="N63" s="5">
        <f t="shared" si="33"/>
        <v>-24.772800000000004</v>
      </c>
      <c r="O63" s="5">
        <f t="shared" si="34"/>
        <v>1.1318424448658939</v>
      </c>
      <c r="P63" s="5">
        <f t="shared" si="35"/>
        <v>-0.74280000000000257</v>
      </c>
    </row>
    <row r="64" spans="1:16" ht="18" customHeight="1">
      <c r="A64" s="2" t="s">
        <v>3</v>
      </c>
      <c r="B64" s="3">
        <v>-28.36</v>
      </c>
      <c r="C64" s="5">
        <v>-27.303999999999998</v>
      </c>
      <c r="D64" s="5">
        <v>-26.823</v>
      </c>
      <c r="E64" s="5">
        <v>-26.762</v>
      </c>
      <c r="F64" s="5">
        <f t="shared" si="31"/>
        <v>-26.962999999999997</v>
      </c>
      <c r="G64" s="5">
        <f t="shared" si="32"/>
        <v>0.29688549981432122</v>
      </c>
      <c r="H64" s="5"/>
      <c r="I64" s="5"/>
      <c r="K64" s="27">
        <f t="shared" ref="K64:M65" si="36">(14*C64-3*(-13.91)-5*(-33.54))/6</f>
        <v>-28.804333333333329</v>
      </c>
      <c r="L64" s="27">
        <f t="shared" si="36"/>
        <v>-27.681999999999999</v>
      </c>
      <c r="M64" s="27">
        <f t="shared" si="36"/>
        <v>-27.539666666666665</v>
      </c>
      <c r="N64" s="5">
        <f t="shared" si="33"/>
        <v>-28.008666666666667</v>
      </c>
      <c r="O64" s="5">
        <f t="shared" si="34"/>
        <v>0.69273283290008358</v>
      </c>
      <c r="P64" s="5">
        <f t="shared" si="35"/>
        <v>0.35133333333333283</v>
      </c>
    </row>
    <row r="65" spans="1:16" ht="18" customHeight="1">
      <c r="A65" s="2" t="s">
        <v>4</v>
      </c>
      <c r="B65" s="3">
        <v>-28.85</v>
      </c>
      <c r="C65" s="5">
        <v>-27.248000000000001</v>
      </c>
      <c r="D65" s="5">
        <v>-27.661999999999999</v>
      </c>
      <c r="E65" s="5">
        <v>-27.641999999999999</v>
      </c>
      <c r="F65" s="5">
        <f t="shared" si="31"/>
        <v>-27.51733333333333</v>
      </c>
      <c r="G65" s="5">
        <f t="shared" si="32"/>
        <v>0.2334637730641155</v>
      </c>
      <c r="H65" s="5"/>
      <c r="I65" s="5"/>
      <c r="K65" s="27">
        <f t="shared" si="36"/>
        <v>-28.673666666666673</v>
      </c>
      <c r="L65" s="27">
        <f t="shared" si="36"/>
        <v>-29.63966666666666</v>
      </c>
      <c r="M65" s="27">
        <f t="shared" si="36"/>
        <v>-29.593</v>
      </c>
      <c r="N65" s="5">
        <f t="shared" si="33"/>
        <v>-29.302111111111113</v>
      </c>
      <c r="O65" s="5">
        <f t="shared" si="34"/>
        <v>0.54474880381626634</v>
      </c>
      <c r="P65" s="5">
        <f t="shared" si="35"/>
        <v>-0.4521111111111118</v>
      </c>
    </row>
    <row r="66" spans="1:16" ht="18" customHeight="1">
      <c r="A66" s="2" t="s">
        <v>5</v>
      </c>
      <c r="B66" s="3">
        <v>-23.95</v>
      </c>
      <c r="C66" s="5">
        <v>-23.006</v>
      </c>
      <c r="D66" s="5">
        <v>-23.247</v>
      </c>
      <c r="E66" s="5">
        <v>-23.440999999999999</v>
      </c>
      <c r="F66" s="5">
        <f t="shared" si="31"/>
        <v>-23.231333333333335</v>
      </c>
      <c r="G66" s="5">
        <f t="shared" si="32"/>
        <v>0.21792276919434797</v>
      </c>
      <c r="H66" s="5">
        <v>-14.952555555555563</v>
      </c>
      <c r="I66" s="5">
        <v>-32.590933333333325</v>
      </c>
      <c r="K66" s="27">
        <f>(15*C66-6*(-13.91)-5*(-33.54))/4</f>
        <v>-23.482500000000002</v>
      </c>
      <c r="L66" s="27">
        <f>(15*D66-6*(-13.91)-5*(-33.54))/4</f>
        <v>-24.386250000000004</v>
      </c>
      <c r="M66" s="27">
        <f>(15*E66-6*(-13.91)-5*(-33.54))/4</f>
        <v>-25.113749999999996</v>
      </c>
      <c r="N66" s="5">
        <f t="shared" si="33"/>
        <v>-24.327500000000001</v>
      </c>
      <c r="O66" s="5">
        <f t="shared" si="34"/>
        <v>0.81721038447880467</v>
      </c>
      <c r="P66" s="5">
        <f t="shared" si="35"/>
        <v>-0.37750000000000128</v>
      </c>
    </row>
    <row r="67" spans="1:16" ht="18" customHeight="1">
      <c r="A67" s="2" t="s">
        <v>6</v>
      </c>
      <c r="B67" s="3">
        <v>-29.4</v>
      </c>
      <c r="C67" s="5">
        <v>-26.559000000000001</v>
      </c>
      <c r="D67" s="5">
        <v>-27.154</v>
      </c>
      <c r="E67" s="5">
        <v>-27.123999999999999</v>
      </c>
      <c r="F67" s="5">
        <f t="shared" si="31"/>
        <v>-26.945666666666668</v>
      </c>
      <c r="G67" s="5">
        <f t="shared" si="32"/>
        <v>0.33519894590128518</v>
      </c>
      <c r="H67" s="5"/>
      <c r="I67" s="5"/>
      <c r="K67" s="27">
        <f>(13*C67-3*(-13.91)-5*(-33.54))/5</f>
        <v>-27.167399999999997</v>
      </c>
      <c r="L67" s="27">
        <f>(13*D67-3*(-13.91)-5*(-33.54))/5</f>
        <v>-28.714400000000001</v>
      </c>
      <c r="M67" s="27">
        <f>(13*E67-3*(-13.91)-5*(-33.54))/5</f>
        <v>-28.636399999999991</v>
      </c>
      <c r="N67" s="5">
        <f t="shared" si="33"/>
        <v>-28.17273333333333</v>
      </c>
      <c r="O67" s="5">
        <f t="shared" si="34"/>
        <v>0.87151725934334356</v>
      </c>
      <c r="P67" s="5">
        <f t="shared" si="35"/>
        <v>1.2272666666666687</v>
      </c>
    </row>
    <row r="68" spans="1:16" ht="18" customHeight="1">
      <c r="A68" s="2" t="s">
        <v>7</v>
      </c>
      <c r="B68" s="3">
        <v>-13.8</v>
      </c>
      <c r="C68" s="5">
        <v>-20.236000000000001</v>
      </c>
      <c r="D68" s="5">
        <v>-20.050999999999998</v>
      </c>
      <c r="E68" s="5">
        <v>-19.914000000000001</v>
      </c>
      <c r="F68" s="5">
        <f t="shared" si="31"/>
        <v>-20.067</v>
      </c>
      <c r="G68" s="5">
        <f t="shared" si="32"/>
        <v>0.16159517319524092</v>
      </c>
      <c r="H68" s="5"/>
      <c r="I68" s="5"/>
      <c r="K68" s="27">
        <f>(16*C68-6*(-13.91)-5*(-33.54))/5</f>
        <v>-14.523200000000003</v>
      </c>
      <c r="L68" s="27">
        <f>(16*D68-6*(-13.91)-5*(-33.54))/5</f>
        <v>-13.931199999999995</v>
      </c>
      <c r="M68" s="27">
        <f>(16*E68-6*(-13.91)-5*(-33.54))/5</f>
        <v>-13.492800000000006</v>
      </c>
      <c r="N68" s="5">
        <f t="shared" si="33"/>
        <v>-13.982400000000004</v>
      </c>
      <c r="O68" s="5">
        <f t="shared" si="34"/>
        <v>0.51710455422477064</v>
      </c>
      <c r="P68" s="5">
        <f t="shared" si="35"/>
        <v>-0.182400000000003</v>
      </c>
    </row>
    <row r="69" spans="1:16" ht="18" customHeight="1">
      <c r="A69" s="2" t="s">
        <v>8</v>
      </c>
      <c r="B69" s="3">
        <v>-11.2</v>
      </c>
      <c r="C69" s="5">
        <v>-17.548999999999999</v>
      </c>
      <c r="D69" s="5">
        <v>-18.457000000000001</v>
      </c>
      <c r="E69" s="5">
        <v>-18.454999999999998</v>
      </c>
      <c r="F69" s="5">
        <f t="shared" si="31"/>
        <v>-18.153666666666666</v>
      </c>
      <c r="G69" s="5">
        <f t="shared" si="32"/>
        <v>0.52365764897815958</v>
      </c>
      <c r="H69" s="5"/>
      <c r="I69" s="5"/>
      <c r="K69" s="27">
        <f>(17*C69-3*(-13.91)-5*(-33.54))/9</f>
        <v>-9.8781111111111066</v>
      </c>
      <c r="L69" s="27">
        <f>(17*D69-3*(-13.91)-5*(-33.54))/9</f>
        <v>-11.593222222222222</v>
      </c>
      <c r="M69" s="27">
        <f>(17*E69-3*(-13.91)-5*(-33.54))/9</f>
        <v>-11.589444444444439</v>
      </c>
      <c r="N69" s="5">
        <f t="shared" si="33"/>
        <v>-11.020259259259255</v>
      </c>
      <c r="O69" s="5">
        <f t="shared" si="34"/>
        <v>0.98913111473652437</v>
      </c>
      <c r="P69" s="5">
        <f t="shared" si="35"/>
        <v>0.17974074074074409</v>
      </c>
    </row>
    <row r="70" spans="1:16" ht="18" customHeight="1">
      <c r="A70" s="2" t="s">
        <v>45</v>
      </c>
      <c r="B70" s="3">
        <v>-12.66</v>
      </c>
      <c r="C70" s="5">
        <v>-24.684000000000001</v>
      </c>
      <c r="D70" s="5">
        <v>-24.215</v>
      </c>
      <c r="E70" s="5">
        <v>-24.841000000000001</v>
      </c>
      <c r="F70" s="5">
        <f t="shared" si="31"/>
        <v>-24.580000000000002</v>
      </c>
      <c r="G70" s="5">
        <f t="shared" si="32"/>
        <v>0.32570078292813548</v>
      </c>
      <c r="H70" s="5"/>
      <c r="I70" s="5"/>
      <c r="K70" s="27">
        <f>(18*C70-3*(-13.91)-10*(-33.54))/5</f>
        <v>-13.436400000000003</v>
      </c>
      <c r="L70" s="27">
        <f>(18*D70-3*(-13.91)-10*(-33.54))/5</f>
        <v>-11.748000000000001</v>
      </c>
      <c r="M70" s="27">
        <f>(18*E70-3*(-13.91)-10*(-33.54))/5</f>
        <v>-14.001600000000007</v>
      </c>
      <c r="N70" s="5">
        <f t="shared" si="33"/>
        <v>-13.062000000000003</v>
      </c>
      <c r="O70" s="5">
        <f t="shared" si="34"/>
        <v>1.1725228185412879</v>
      </c>
      <c r="P70" s="5">
        <f t="shared" si="35"/>
        <v>-0.4020000000000028</v>
      </c>
    </row>
    <row r="71" spans="1:16" ht="18" customHeight="1">
      <c r="A71" s="13" t="s">
        <v>24</v>
      </c>
      <c r="B71" s="4"/>
      <c r="C71" s="12"/>
      <c r="D71" s="12"/>
      <c r="E71" s="12"/>
      <c r="F71" s="12"/>
      <c r="G71" s="12"/>
      <c r="H71" s="5"/>
      <c r="I71" s="14"/>
      <c r="K71" s="12"/>
      <c r="L71" s="12"/>
      <c r="M71" s="12"/>
      <c r="N71" s="12"/>
      <c r="O71" s="12"/>
      <c r="P71" s="4"/>
    </row>
    <row r="72" spans="1:16" ht="18" customHeight="1">
      <c r="A72" s="2" t="s">
        <v>0</v>
      </c>
      <c r="B72" s="3">
        <v>-17.93</v>
      </c>
      <c r="C72" s="5">
        <v>-23.841000000000001</v>
      </c>
      <c r="D72" s="5">
        <v>-24.125</v>
      </c>
      <c r="E72" s="5">
        <v>-24.085999999999999</v>
      </c>
      <c r="F72" s="5">
        <f t="shared" ref="F72:F81" si="37">AVERAGE(C72:E72)</f>
        <v>-24.01733333333333</v>
      </c>
      <c r="G72" s="5">
        <f t="shared" ref="G72:G81" si="38">STDEV(C72:E72)</f>
        <v>0.15394912579593636</v>
      </c>
      <c r="H72" s="5">
        <v>-13.974000000000018</v>
      </c>
      <c r="I72" s="5">
        <v>-33.695733333333315</v>
      </c>
      <c r="K72" s="27">
        <f>(11*C72-3*(-14.02)-5*(-33.43))/3</f>
        <v>-17.680333333333341</v>
      </c>
      <c r="L72" s="27">
        <f>(11*D72-3*(-14.02)-5*(-33.43))/3</f>
        <v>-18.721666666666664</v>
      </c>
      <c r="M72" s="27">
        <f>(11*E72-3*(-14.02)-5*(-33.43))/3</f>
        <v>-18.578666666666653</v>
      </c>
      <c r="N72" s="5">
        <f t="shared" ref="N72:N81" si="39">AVERAGE(K72:M72)</f>
        <v>-18.326888888888885</v>
      </c>
      <c r="O72" s="5">
        <f t="shared" ref="O72:O81" si="40">STDEV(K72:M72)</f>
        <v>0.56448012791842861</v>
      </c>
      <c r="P72" s="5">
        <f t="shared" ref="P72:P81" si="41">N72-B72</f>
        <v>-0.39688888888888485</v>
      </c>
    </row>
    <row r="73" spans="1:16" ht="18" customHeight="1">
      <c r="A73" s="2" t="s">
        <v>1</v>
      </c>
      <c r="B73" s="3">
        <v>-60.02</v>
      </c>
      <c r="C73" s="5">
        <v>-32.661999999999999</v>
      </c>
      <c r="D73" s="5">
        <v>-33.375</v>
      </c>
      <c r="E73" s="5">
        <v>-32.817</v>
      </c>
      <c r="F73" s="5">
        <f t="shared" si="37"/>
        <v>-32.951333333333338</v>
      </c>
      <c r="G73" s="5">
        <f t="shared" si="38"/>
        <v>0.37500177777356414</v>
      </c>
      <c r="H73" s="5">
        <v>-13.336888888888936</v>
      </c>
      <c r="I73" s="5">
        <v>-33.892533333333311</v>
      </c>
      <c r="K73" s="27">
        <f>(10*C73-3*(-14.02)-5*(-33.43))/2</f>
        <v>-58.704999999999998</v>
      </c>
      <c r="L73" s="27">
        <f>(10*D73-3*(-14.02)-5*(-33.43))/2</f>
        <v>-62.269999999999996</v>
      </c>
      <c r="M73" s="27">
        <f>(10*E73-3*(-14.02)-5*(-33.43))/2</f>
        <v>-59.480000000000004</v>
      </c>
      <c r="N73" s="5">
        <f t="shared" si="39"/>
        <v>-60.151666666666664</v>
      </c>
      <c r="O73" s="5">
        <f t="shared" si="40"/>
        <v>1.8750088888678167</v>
      </c>
      <c r="P73" s="5">
        <f t="shared" si="41"/>
        <v>-0.1316666666666606</v>
      </c>
    </row>
    <row r="74" spans="1:16" ht="18" customHeight="1">
      <c r="A74" s="2" t="s">
        <v>2</v>
      </c>
      <c r="B74" s="3">
        <v>-24.03</v>
      </c>
      <c r="C74" s="5">
        <v>-25.623999999999999</v>
      </c>
      <c r="D74" s="5">
        <v>-25.661999999999999</v>
      </c>
      <c r="E74" s="5">
        <v>-25.164000000000001</v>
      </c>
      <c r="F74" s="5">
        <f t="shared" si="37"/>
        <v>-25.483333333333334</v>
      </c>
      <c r="G74" s="5">
        <f t="shared" si="38"/>
        <v>0.27720269358960514</v>
      </c>
      <c r="H74" s="5"/>
      <c r="I74" s="5"/>
      <c r="K74" s="27">
        <f>(13*C74-3*(-14.02)-5*(-33.43))/5</f>
        <v>-24.780399999999993</v>
      </c>
      <c r="L74" s="27">
        <f>(13*D74-3*(-14.02)-5*(-33.43))/5</f>
        <v>-24.879199999999997</v>
      </c>
      <c r="M74" s="27">
        <f>(13*E74-3*(-14.02)-5*(-33.43))/5</f>
        <v>-23.584399999999999</v>
      </c>
      <c r="N74" s="5">
        <f t="shared" si="39"/>
        <v>-24.414666666666662</v>
      </c>
      <c r="O74" s="5">
        <f t="shared" si="40"/>
        <v>0.72072700333297535</v>
      </c>
      <c r="P74" s="5">
        <f t="shared" si="41"/>
        <v>-0.38466666666666072</v>
      </c>
    </row>
    <row r="75" spans="1:16" ht="18" customHeight="1">
      <c r="A75" s="2" t="s">
        <v>3</v>
      </c>
      <c r="B75" s="3">
        <v>-28.36</v>
      </c>
      <c r="C75" s="5">
        <v>-26.841000000000001</v>
      </c>
      <c r="D75" s="5">
        <v>-27.245000000000001</v>
      </c>
      <c r="E75" s="5">
        <v>-26.942</v>
      </c>
      <c r="F75" s="5">
        <f t="shared" si="37"/>
        <v>-27.009333333333331</v>
      </c>
      <c r="G75" s="5">
        <f t="shared" si="38"/>
        <v>0.21024826594607951</v>
      </c>
      <c r="H75" s="5"/>
      <c r="I75" s="5"/>
      <c r="K75" s="27">
        <f t="shared" ref="K75:M76" si="42">(14*C75-3*(-14.02)-5*(-33.43))/6</f>
        <v>-27.760666666666665</v>
      </c>
      <c r="L75" s="27">
        <f t="shared" si="42"/>
        <v>-28.703333333333333</v>
      </c>
      <c r="M75" s="27">
        <f t="shared" si="42"/>
        <v>-27.996333333333329</v>
      </c>
      <c r="N75" s="5">
        <f t="shared" si="39"/>
        <v>-28.153444444444442</v>
      </c>
      <c r="O75" s="5">
        <f t="shared" si="40"/>
        <v>0.4905792872075197</v>
      </c>
      <c r="P75" s="5">
        <f t="shared" si="41"/>
        <v>0.20655555555555694</v>
      </c>
    </row>
    <row r="76" spans="1:16" ht="18" customHeight="1">
      <c r="A76" s="2" t="s">
        <v>4</v>
      </c>
      <c r="B76" s="3">
        <v>-28.85</v>
      </c>
      <c r="C76" s="5">
        <v>-27.154</v>
      </c>
      <c r="D76" s="5">
        <v>-27.355</v>
      </c>
      <c r="E76" s="5">
        <v>-27.512</v>
      </c>
      <c r="F76" s="5">
        <f t="shared" si="37"/>
        <v>-27.340333333333334</v>
      </c>
      <c r="G76" s="5">
        <f t="shared" si="38"/>
        <v>0.17945008591063263</v>
      </c>
      <c r="H76" s="5"/>
      <c r="I76" s="5"/>
      <c r="K76" s="27">
        <f t="shared" si="42"/>
        <v>-28.491</v>
      </c>
      <c r="L76" s="27">
        <f t="shared" si="42"/>
        <v>-28.960000000000004</v>
      </c>
      <c r="M76" s="27">
        <f t="shared" si="42"/>
        <v>-29.326333333333334</v>
      </c>
      <c r="N76" s="5">
        <f t="shared" si="39"/>
        <v>-28.925777777777782</v>
      </c>
      <c r="O76" s="5">
        <f t="shared" si="40"/>
        <v>0.4187168671248096</v>
      </c>
      <c r="P76" s="5">
        <f t="shared" si="41"/>
        <v>-7.5777777777780386E-2</v>
      </c>
    </row>
    <row r="77" spans="1:16" ht="18" customHeight="1">
      <c r="A77" s="2" t="s">
        <v>5</v>
      </c>
      <c r="B77" s="3">
        <v>-23.95</v>
      </c>
      <c r="C77" s="5">
        <v>-23.154</v>
      </c>
      <c r="D77" s="5">
        <v>-23.036000000000001</v>
      </c>
      <c r="E77" s="5">
        <v>-23.37</v>
      </c>
      <c r="F77" s="5">
        <f t="shared" si="37"/>
        <v>-23.186666666666667</v>
      </c>
      <c r="G77" s="5">
        <f t="shared" si="38"/>
        <v>0.16937925886404542</v>
      </c>
      <c r="H77" s="5">
        <v>-14.744333333333344</v>
      </c>
      <c r="I77" s="5">
        <v>-32.706800000000001</v>
      </c>
      <c r="K77" s="27">
        <f>(15*C77-6*(-14.02)-5*(-33.43))/4</f>
        <v>-24.009999999999998</v>
      </c>
      <c r="L77" s="27">
        <f>(15*D77-6*(-14.02)-5*(-33.43))/4</f>
        <v>-23.567500000000003</v>
      </c>
      <c r="M77" s="27">
        <f>(15*E77-6*(-14.02)-5*(-33.43))/4</f>
        <v>-24.82</v>
      </c>
      <c r="N77" s="5">
        <f t="shared" si="39"/>
        <v>-24.132500000000004</v>
      </c>
      <c r="O77" s="5">
        <f t="shared" si="40"/>
        <v>0.63517222074016977</v>
      </c>
      <c r="P77" s="5">
        <f t="shared" si="41"/>
        <v>-0.18250000000000455</v>
      </c>
    </row>
    <row r="78" spans="1:16" ht="18" customHeight="1">
      <c r="A78" s="2" t="s">
        <v>6</v>
      </c>
      <c r="B78" s="3">
        <v>-29.4</v>
      </c>
      <c r="C78" s="5">
        <v>-27.518999999999998</v>
      </c>
      <c r="D78" s="5">
        <v>-27.154</v>
      </c>
      <c r="E78" s="5">
        <v>-27.123999999999999</v>
      </c>
      <c r="F78" s="5">
        <f t="shared" si="37"/>
        <v>-27.265666666666664</v>
      </c>
      <c r="G78" s="5">
        <f t="shared" si="38"/>
        <v>0.21990528264080675</v>
      </c>
      <c r="I78" s="5"/>
      <c r="K78" s="27">
        <f>(13*C78-3*(-14.02)-5*(-33.43))/5</f>
        <v>-29.707399999999989</v>
      </c>
      <c r="L78" s="27">
        <f>(13*D78-3*(-14.02)-5*(-33.43))/5</f>
        <v>-28.758400000000002</v>
      </c>
      <c r="M78" s="27">
        <f>(13*E78-3*(-14.02)-5*(-33.43))/5</f>
        <v>-28.680399999999992</v>
      </c>
      <c r="N78" s="5">
        <f t="shared" si="39"/>
        <v>-29.048733333333328</v>
      </c>
      <c r="O78" s="5">
        <f t="shared" si="40"/>
        <v>0.57175373486609493</v>
      </c>
      <c r="P78" s="5">
        <f t="shared" si="41"/>
        <v>0.35126666666667106</v>
      </c>
    </row>
    <row r="79" spans="1:16" ht="18" customHeight="1">
      <c r="A79" s="2" t="s">
        <v>7</v>
      </c>
      <c r="B79" s="3">
        <v>-13.8</v>
      </c>
      <c r="C79" s="5">
        <v>-19.945</v>
      </c>
      <c r="D79" s="5">
        <v>-19.946000000000002</v>
      </c>
      <c r="E79" s="5">
        <v>-20.356999999999999</v>
      </c>
      <c r="F79" s="5">
        <f t="shared" si="37"/>
        <v>-20.082666666666668</v>
      </c>
      <c r="G79" s="5">
        <f t="shared" si="38"/>
        <v>0.23758016191031797</v>
      </c>
      <c r="H79" s="5"/>
      <c r="I79" s="5"/>
      <c r="K79" s="27">
        <f>(16*C79-6*(-14.02)-5*(-33.43))/5</f>
        <v>-13.569999999999999</v>
      </c>
      <c r="L79" s="27">
        <f>(16*D79-6*(-14.02)-5*(-33.43))/5</f>
        <v>-13.573200000000003</v>
      </c>
      <c r="M79" s="27">
        <f>(16*E79-6*(-14.02)-5*(-33.43))/5</f>
        <v>-14.888399999999995</v>
      </c>
      <c r="N79" s="5">
        <f t="shared" si="39"/>
        <v>-14.010533333333333</v>
      </c>
      <c r="O79" s="5">
        <f t="shared" si="40"/>
        <v>0.7602565181130172</v>
      </c>
      <c r="P79" s="5">
        <f t="shared" si="41"/>
        <v>-0.21053333333333235</v>
      </c>
    </row>
    <row r="80" spans="1:16" ht="18" customHeight="1">
      <c r="A80" s="2" t="s">
        <v>8</v>
      </c>
      <c r="B80" s="3">
        <v>-11.2</v>
      </c>
      <c r="C80" s="5">
        <v>-18.154</v>
      </c>
      <c r="D80" s="5">
        <v>-17.945</v>
      </c>
      <c r="E80" s="5">
        <v>-18.353999999999999</v>
      </c>
      <c r="F80" s="5">
        <f t="shared" si="37"/>
        <v>-18.151</v>
      </c>
      <c r="G80" s="5">
        <f t="shared" si="38"/>
        <v>0.20451650300159099</v>
      </c>
      <c r="H80" s="5"/>
      <c r="I80" s="5"/>
      <c r="K80" s="27">
        <f>(17*C80-3*(-14.02)-5*(-33.43))/9</f>
        <v>-11.045333333333332</v>
      </c>
      <c r="L80" s="27">
        <f>(17*D80-3*(-14.02)-5*(-33.43))/9</f>
        <v>-10.650555555555554</v>
      </c>
      <c r="M80" s="27">
        <f>(17*E80-3*(-14.02)-5*(-33.43))/9</f>
        <v>-11.423111111111107</v>
      </c>
      <c r="N80" s="5">
        <f t="shared" si="39"/>
        <v>-11.039666666666664</v>
      </c>
      <c r="O80" s="5">
        <f t="shared" si="40"/>
        <v>0.3863089501141157</v>
      </c>
      <c r="P80" s="5">
        <f t="shared" si="41"/>
        <v>0.16033333333333566</v>
      </c>
    </row>
    <row r="81" spans="1:16" ht="18" customHeight="1">
      <c r="A81" s="9" t="s">
        <v>45</v>
      </c>
      <c r="B81" s="10">
        <v>-12.66</v>
      </c>
      <c r="C81" s="7">
        <v>-24.65</v>
      </c>
      <c r="D81" s="7">
        <v>-24.215</v>
      </c>
      <c r="E81" s="7">
        <v>-24.841000000000001</v>
      </c>
      <c r="F81" s="7">
        <f t="shared" si="37"/>
        <v>-24.568666666666662</v>
      </c>
      <c r="G81" s="7">
        <f t="shared" si="38"/>
        <v>0.32082757570591336</v>
      </c>
      <c r="H81" s="7"/>
      <c r="I81" s="7"/>
      <c r="J81" s="43"/>
      <c r="K81" s="28">
        <f>(18*C81-3*(-14.02)-10*(-33.43))/5</f>
        <v>-13.467999999999995</v>
      </c>
      <c r="L81" s="28">
        <f>(18*D81-3*(-14.02)-10*(-33.43))/5</f>
        <v>-11.901999999999997</v>
      </c>
      <c r="M81" s="28">
        <f>(18*E81-3*(-14.02)-10*(-33.43))/5</f>
        <v>-14.155600000000003</v>
      </c>
      <c r="N81" s="7">
        <f t="shared" si="39"/>
        <v>-13.175199999999998</v>
      </c>
      <c r="O81" s="7">
        <f t="shared" si="40"/>
        <v>1.1549792725412888</v>
      </c>
      <c r="P81" s="7">
        <f t="shared" si="41"/>
        <v>-0.51519999999999833</v>
      </c>
    </row>
    <row r="82" spans="1:16" ht="36" customHeight="1">
      <c r="A82" s="29" t="s">
        <v>46</v>
      </c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</row>
    <row r="83" spans="1:16" ht="18" customHeight="1">
      <c r="A83" s="24" t="s">
        <v>47</v>
      </c>
    </row>
  </sheetData>
  <mergeCells count="8">
    <mergeCell ref="A82:P82"/>
    <mergeCell ref="A3:A4"/>
    <mergeCell ref="B3:B4"/>
    <mergeCell ref="K3:O3"/>
    <mergeCell ref="P3:P4"/>
    <mergeCell ref="C3:G3"/>
    <mergeCell ref="H3:H4"/>
    <mergeCell ref="I3:I4"/>
  </mergeCells>
  <phoneticPr fontId="1"/>
  <pageMargins left="0.5" right="0.31" top="0.94" bottom="0.94" header="0.3" footer="0.3"/>
  <pageSetup paperSize="9" scale="47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2A03E-B8F9-024B-86F6-D9BBEB9E90D2}">
  <sheetPr>
    <pageSetUpPr fitToPage="1"/>
  </sheetPr>
  <dimension ref="A2:CA20"/>
  <sheetViews>
    <sheetView zoomScale="115" zoomScaleNormal="100" zoomScalePageLayoutView="81" workbookViewId="0">
      <selection activeCell="A15" sqref="A1:XFD1048576"/>
    </sheetView>
  </sheetViews>
  <sheetFormatPr baseColWidth="10" defaultColWidth="10.140625" defaultRowHeight="18" customHeight="1"/>
  <cols>
    <col min="1" max="1" width="12.85546875" style="1" customWidth="1"/>
    <col min="2" max="2" width="10.42578125" style="1" bestFit="1" customWidth="1"/>
    <col min="3" max="7" width="8.28515625" style="1" customWidth="1"/>
    <col min="8" max="8" width="1.7109375" style="1" customWidth="1"/>
    <col min="9" max="16" width="8.28515625" style="1" customWidth="1"/>
    <col min="17" max="22" width="9.42578125" style="1" customWidth="1"/>
    <col min="23" max="25" width="8.7109375" style="1" customWidth="1"/>
    <col min="26" max="26" width="2.42578125" style="1" customWidth="1"/>
    <col min="27" max="28" width="8.7109375" style="1" customWidth="1"/>
    <col min="29" max="29" width="2.42578125" style="1" customWidth="1"/>
    <col min="30" max="31" width="8.7109375" style="1" customWidth="1"/>
    <col min="32" max="35" width="10.140625" style="1"/>
    <col min="36" max="39" width="9.42578125" style="1" customWidth="1"/>
    <col min="40" max="16384" width="10.140625" style="1"/>
  </cols>
  <sheetData>
    <row r="2" spans="1:16" ht="18" customHeight="1">
      <c r="A2" s="41" t="s">
        <v>49</v>
      </c>
    </row>
    <row r="3" spans="1:16" ht="18" customHeight="1">
      <c r="A3" s="30"/>
      <c r="B3" s="32" t="s">
        <v>12</v>
      </c>
      <c r="C3" s="37" t="s">
        <v>15</v>
      </c>
      <c r="D3" s="37"/>
      <c r="E3" s="37"/>
      <c r="F3" s="37"/>
      <c r="G3" s="37"/>
      <c r="H3" s="42"/>
      <c r="I3" s="37" t="s">
        <v>16</v>
      </c>
      <c r="J3" s="37"/>
      <c r="K3" s="37"/>
      <c r="L3" s="37"/>
      <c r="M3" s="37"/>
      <c r="N3" s="37"/>
      <c r="O3" s="37"/>
      <c r="P3" s="32" t="s">
        <v>13</v>
      </c>
    </row>
    <row r="4" spans="1:16" ht="18" customHeight="1">
      <c r="A4" s="31"/>
      <c r="B4" s="33"/>
      <c r="C4" s="6" t="s">
        <v>29</v>
      </c>
      <c r="D4" s="6" t="s">
        <v>30</v>
      </c>
      <c r="E4" s="6" t="s">
        <v>31</v>
      </c>
      <c r="F4" s="6" t="s">
        <v>32</v>
      </c>
      <c r="G4" s="6" t="s">
        <v>33</v>
      </c>
      <c r="I4" s="6" t="s">
        <v>29</v>
      </c>
      <c r="J4" s="6" t="s">
        <v>30</v>
      </c>
      <c r="K4" s="6" t="s">
        <v>31</v>
      </c>
      <c r="L4" s="6" t="s">
        <v>32</v>
      </c>
      <c r="M4" s="6" t="s">
        <v>33</v>
      </c>
      <c r="N4" s="6" t="s">
        <v>14</v>
      </c>
      <c r="O4" s="6" t="s">
        <v>43</v>
      </c>
      <c r="P4" s="33"/>
    </row>
    <row r="5" spans="1:16" ht="18" customHeight="1">
      <c r="A5" s="2" t="s">
        <v>0</v>
      </c>
      <c r="B5" s="3">
        <v>43.25</v>
      </c>
      <c r="C5" s="5">
        <v>41.942</v>
      </c>
      <c r="D5" s="5">
        <v>41.893000000000001</v>
      </c>
      <c r="E5" s="5">
        <v>42.475000000000001</v>
      </c>
      <c r="F5" s="5">
        <v>42.642000000000003</v>
      </c>
      <c r="G5" s="5">
        <v>42.451999999999998</v>
      </c>
      <c r="I5" s="8">
        <f t="shared" ref="I5:I14" si="0">C5*1.153227-5.540019</f>
        <v>42.828627834000002</v>
      </c>
      <c r="J5" s="8">
        <f t="shared" ref="J5:J14" si="1">D5*1.153227-5.540019</f>
        <v>42.772119711000002</v>
      </c>
      <c r="K5" s="8">
        <f t="shared" ref="K5:K14" si="2">E5*1.153227-5.540019</f>
        <v>43.443297825000002</v>
      </c>
      <c r="L5" s="8">
        <f t="shared" ref="L5:L14" si="3">F5*1.153227-5.540019</f>
        <v>43.635886734000003</v>
      </c>
      <c r="M5" s="8">
        <f t="shared" ref="M5:M14" si="4">G5*1.153227-5.540019</f>
        <v>43.416773603999999</v>
      </c>
      <c r="N5" s="5">
        <f t="shared" ref="N5:N14" si="5">AVERAGE(I5:M5)</f>
        <v>43.219341141599998</v>
      </c>
      <c r="O5" s="5">
        <f t="shared" ref="O5:O14" si="6">STDEV(I5:M5)</f>
        <v>0.39220858625238075</v>
      </c>
      <c r="P5" s="5">
        <f>N5-B5</f>
        <v>-3.0658858400002487E-2</v>
      </c>
    </row>
    <row r="6" spans="1:16" ht="18" customHeight="1">
      <c r="A6" s="2" t="s">
        <v>1</v>
      </c>
      <c r="B6" s="3">
        <v>-26.63</v>
      </c>
      <c r="C6" s="5">
        <v>-18.462</v>
      </c>
      <c r="D6" s="5">
        <v>-17.823</v>
      </c>
      <c r="E6" s="5">
        <v>-18.481999999999999</v>
      </c>
      <c r="F6" s="5">
        <v>-18.422000000000001</v>
      </c>
      <c r="G6" s="5">
        <v>-19.0321</v>
      </c>
      <c r="I6" s="8">
        <f t="shared" si="0"/>
        <v>-26.830895873999999</v>
      </c>
      <c r="J6" s="8">
        <f t="shared" si="1"/>
        <v>-26.093983821000002</v>
      </c>
      <c r="K6" s="8">
        <f t="shared" si="2"/>
        <v>-26.853960413999999</v>
      </c>
      <c r="L6" s="8">
        <f t="shared" si="3"/>
        <v>-26.784766794000003</v>
      </c>
      <c r="M6" s="8">
        <f t="shared" si="4"/>
        <v>-27.488350586700001</v>
      </c>
      <c r="N6" s="5">
        <f t="shared" si="5"/>
        <v>-26.810391497940003</v>
      </c>
      <c r="O6" s="5">
        <f t="shared" si="6"/>
        <v>0.49392403032934157</v>
      </c>
      <c r="P6" s="5">
        <f t="shared" ref="P6:P14" si="7">N6-B6</f>
        <v>-0.18039149794000409</v>
      </c>
    </row>
    <row r="7" spans="1:16" ht="18" customHeight="1">
      <c r="A7" s="2" t="s">
        <v>2</v>
      </c>
      <c r="B7" s="3">
        <v>-5.21</v>
      </c>
      <c r="C7" s="5">
        <v>0.46200000000000002</v>
      </c>
      <c r="D7" s="5">
        <v>2.1999999999999999E-2</v>
      </c>
      <c r="E7" s="5">
        <v>0.48199999999999998</v>
      </c>
      <c r="F7" s="5">
        <v>0.81899999999999995</v>
      </c>
      <c r="G7" s="5">
        <v>-0.63700000000000001</v>
      </c>
      <c r="I7" s="8">
        <f t="shared" si="0"/>
        <v>-5.0072281260000002</v>
      </c>
      <c r="J7" s="8">
        <f t="shared" si="1"/>
        <v>-5.5146480059999998</v>
      </c>
      <c r="K7" s="8">
        <f t="shared" si="2"/>
        <v>-4.9841635860000002</v>
      </c>
      <c r="L7" s="8">
        <f t="shared" si="3"/>
        <v>-4.5955260869999996</v>
      </c>
      <c r="M7" s="8">
        <f t="shared" si="4"/>
        <v>-6.274624599</v>
      </c>
      <c r="N7" s="5">
        <f t="shared" si="5"/>
        <v>-5.2752380807999995</v>
      </c>
      <c r="O7" s="5">
        <f t="shared" si="6"/>
        <v>0.64704184890831151</v>
      </c>
      <c r="P7" s="5">
        <f t="shared" si="7"/>
        <v>-6.5238080799999487E-2</v>
      </c>
    </row>
    <row r="8" spans="1:16" ht="18" customHeight="1">
      <c r="A8" s="2" t="s">
        <v>3</v>
      </c>
      <c r="B8" s="3">
        <v>6.22</v>
      </c>
      <c r="C8" s="5">
        <v>9.6489999999999991</v>
      </c>
      <c r="D8" s="5">
        <v>9.4930000000000003</v>
      </c>
      <c r="E8" s="5">
        <v>10.551</v>
      </c>
      <c r="F8" s="5">
        <v>10.098000000000001</v>
      </c>
      <c r="G8" s="5">
        <v>10.311999999999999</v>
      </c>
      <c r="I8" s="8">
        <f t="shared" si="0"/>
        <v>5.5874683229999986</v>
      </c>
      <c r="J8" s="8">
        <f t="shared" si="1"/>
        <v>5.4075649110000006</v>
      </c>
      <c r="K8" s="8">
        <f t="shared" si="2"/>
        <v>6.6276790770000007</v>
      </c>
      <c r="L8" s="8">
        <f t="shared" si="3"/>
        <v>6.1052672460000013</v>
      </c>
      <c r="M8" s="8">
        <f t="shared" si="4"/>
        <v>6.3520578240000001</v>
      </c>
      <c r="N8" s="5">
        <f t="shared" si="5"/>
        <v>6.0160074762000004</v>
      </c>
      <c r="O8" s="5">
        <f t="shared" si="6"/>
        <v>0.5120760321863872</v>
      </c>
      <c r="P8" s="5">
        <f t="shared" si="7"/>
        <v>-0.20399252379999933</v>
      </c>
    </row>
    <row r="9" spans="1:16" ht="18" customHeight="1">
      <c r="A9" s="2" t="s">
        <v>4</v>
      </c>
      <c r="B9" s="3">
        <v>18.96</v>
      </c>
      <c r="C9" s="5">
        <v>21.553000000000001</v>
      </c>
      <c r="D9" s="5">
        <v>21.4</v>
      </c>
      <c r="E9" s="5">
        <v>21.808</v>
      </c>
      <c r="F9" s="5">
        <v>22.292000000000002</v>
      </c>
      <c r="G9" s="5">
        <v>22.175000000000001</v>
      </c>
      <c r="I9" s="8">
        <f t="shared" si="0"/>
        <v>19.315482531000001</v>
      </c>
      <c r="J9" s="8">
        <f t="shared" si="1"/>
        <v>19.139038799999998</v>
      </c>
      <c r="K9" s="8">
        <f t="shared" si="2"/>
        <v>19.609555415999999</v>
      </c>
      <c r="L9" s="8">
        <f t="shared" si="3"/>
        <v>20.167717284000002</v>
      </c>
      <c r="M9" s="8">
        <f t="shared" si="4"/>
        <v>20.032789725000001</v>
      </c>
      <c r="N9" s="5">
        <f t="shared" si="5"/>
        <v>19.652916751199999</v>
      </c>
      <c r="O9" s="5">
        <f t="shared" si="6"/>
        <v>0.44416654305469755</v>
      </c>
      <c r="P9" s="5">
        <f t="shared" si="7"/>
        <v>0.69291675119999852</v>
      </c>
    </row>
    <row r="10" spans="1:16" ht="18" customHeight="1">
      <c r="A10" s="2" t="s">
        <v>5</v>
      </c>
      <c r="B10" s="3">
        <v>35.200000000000003</v>
      </c>
      <c r="C10" s="5">
        <v>35.841999999999999</v>
      </c>
      <c r="D10" s="5">
        <v>35.042000000000002</v>
      </c>
      <c r="E10" s="5">
        <v>34.784999999999997</v>
      </c>
      <c r="F10" s="5">
        <v>35.371000000000002</v>
      </c>
      <c r="G10" s="5">
        <v>35.142000000000003</v>
      </c>
      <c r="I10" s="8">
        <f t="shared" si="0"/>
        <v>35.793943133999996</v>
      </c>
      <c r="J10" s="8">
        <f t="shared" si="1"/>
        <v>34.871361534000002</v>
      </c>
      <c r="K10" s="8">
        <f t="shared" si="2"/>
        <v>34.574982194999997</v>
      </c>
      <c r="L10" s="8">
        <f t="shared" si="3"/>
        <v>35.250773217000003</v>
      </c>
      <c r="M10" s="8">
        <f t="shared" si="4"/>
        <v>34.986684234000002</v>
      </c>
      <c r="N10" s="5">
        <f t="shared" si="5"/>
        <v>35.095548862800001</v>
      </c>
      <c r="O10" s="5">
        <f t="shared" si="6"/>
        <v>0.45960588540738345</v>
      </c>
      <c r="P10" s="5">
        <f t="shared" si="7"/>
        <v>-0.10445113720000165</v>
      </c>
    </row>
    <row r="11" spans="1:16" ht="18" customHeight="1">
      <c r="A11" s="2" t="s">
        <v>6</v>
      </c>
      <c r="B11" s="3">
        <v>-3.79</v>
      </c>
      <c r="C11" s="5">
        <v>1.042</v>
      </c>
      <c r="D11" s="5">
        <v>1.2010000000000001</v>
      </c>
      <c r="E11" s="5">
        <v>1.8169999999999999</v>
      </c>
      <c r="F11" s="5">
        <v>1.786</v>
      </c>
      <c r="G11" s="5">
        <v>1.84</v>
      </c>
      <c r="I11" s="8">
        <f t="shared" si="0"/>
        <v>-4.3383564660000005</v>
      </c>
      <c r="J11" s="8">
        <f t="shared" si="1"/>
        <v>-4.1549933729999999</v>
      </c>
      <c r="K11" s="8">
        <f t="shared" si="2"/>
        <v>-3.444605541</v>
      </c>
      <c r="L11" s="8">
        <f t="shared" si="3"/>
        <v>-3.4803555780000002</v>
      </c>
      <c r="M11" s="8">
        <f t="shared" si="4"/>
        <v>-3.4180813199999998</v>
      </c>
      <c r="N11" s="5">
        <f t="shared" si="5"/>
        <v>-3.7672784555999996</v>
      </c>
      <c r="O11" s="5">
        <f t="shared" si="6"/>
        <v>0.44295432556723785</v>
      </c>
      <c r="P11" s="5">
        <f t="shared" si="7"/>
        <v>2.2721544400000404E-2</v>
      </c>
    </row>
    <row r="12" spans="1:16" ht="18" customHeight="1">
      <c r="A12" s="2" t="s">
        <v>7</v>
      </c>
      <c r="B12" s="3">
        <v>45.66</v>
      </c>
      <c r="C12" s="5">
        <v>44.381999999999998</v>
      </c>
      <c r="D12" s="5">
        <v>43.56</v>
      </c>
      <c r="E12" s="5">
        <v>44.587299999999999</v>
      </c>
      <c r="F12" s="5">
        <v>44.48</v>
      </c>
      <c r="G12" s="5">
        <v>43.414999999999999</v>
      </c>
      <c r="I12" s="8">
        <f t="shared" si="0"/>
        <v>45.642501713999998</v>
      </c>
      <c r="J12" s="8">
        <f t="shared" si="1"/>
        <v>44.694549120000005</v>
      </c>
      <c r="K12" s="8">
        <f t="shared" si="2"/>
        <v>45.8792592171</v>
      </c>
      <c r="L12" s="8">
        <f t="shared" si="3"/>
        <v>45.755517959999999</v>
      </c>
      <c r="M12" s="8">
        <f t="shared" si="4"/>
        <v>44.527331204999996</v>
      </c>
      <c r="N12" s="5">
        <f t="shared" si="5"/>
        <v>45.299831843219991</v>
      </c>
      <c r="O12" s="5">
        <f t="shared" si="6"/>
        <v>0.63716814304522762</v>
      </c>
      <c r="P12" s="5">
        <f t="shared" si="7"/>
        <v>-0.36016815678000569</v>
      </c>
    </row>
    <row r="13" spans="1:16" ht="18" customHeight="1">
      <c r="A13" s="2" t="s">
        <v>8</v>
      </c>
      <c r="B13" s="3">
        <v>1.7</v>
      </c>
      <c r="C13" s="5">
        <v>6.8739999999999997</v>
      </c>
      <c r="D13" s="5">
        <v>6.375</v>
      </c>
      <c r="E13" s="5">
        <v>6.8369999999999997</v>
      </c>
      <c r="F13" s="5">
        <v>7.077</v>
      </c>
      <c r="G13" s="5">
        <v>6.4530000000000003</v>
      </c>
      <c r="I13" s="8">
        <f t="shared" si="0"/>
        <v>2.387263398</v>
      </c>
      <c r="J13" s="8">
        <f t="shared" si="1"/>
        <v>1.811803125</v>
      </c>
      <c r="K13" s="8">
        <f t="shared" si="2"/>
        <v>2.3445939989999998</v>
      </c>
      <c r="L13" s="8">
        <f t="shared" si="3"/>
        <v>2.621368479</v>
      </c>
      <c r="M13" s="8">
        <f t="shared" si="4"/>
        <v>1.9017548310000008</v>
      </c>
      <c r="N13" s="5">
        <f t="shared" si="5"/>
        <v>2.2133567664000005</v>
      </c>
      <c r="O13" s="5">
        <f t="shared" si="6"/>
        <v>0.34361365602241634</v>
      </c>
      <c r="P13" s="5">
        <f t="shared" si="7"/>
        <v>0.5133567664000005</v>
      </c>
    </row>
    <row r="14" spans="1:16" ht="18" customHeight="1">
      <c r="A14" s="9" t="s">
        <v>45</v>
      </c>
      <c r="B14" s="10">
        <v>-9.17</v>
      </c>
      <c r="C14" s="7">
        <v>-3.0419999999999998</v>
      </c>
      <c r="D14" s="7">
        <v>-3.4609999999999999</v>
      </c>
      <c r="E14" s="7">
        <v>-3.4239999999999999</v>
      </c>
      <c r="F14" s="7">
        <v>-3.762</v>
      </c>
      <c r="G14" s="7">
        <v>-3.2810000000000001</v>
      </c>
      <c r="H14" s="43"/>
      <c r="I14" s="11">
        <f t="shared" si="0"/>
        <v>-9.048135534</v>
      </c>
      <c r="J14" s="11">
        <f t="shared" si="1"/>
        <v>-9.5313376470000009</v>
      </c>
      <c r="K14" s="11">
        <f t="shared" si="2"/>
        <v>-9.4886682479999997</v>
      </c>
      <c r="L14" s="11">
        <f t="shared" si="3"/>
        <v>-9.8784589740000008</v>
      </c>
      <c r="M14" s="11">
        <f t="shared" si="4"/>
        <v>-9.3237567870000007</v>
      </c>
      <c r="N14" s="7">
        <f t="shared" si="5"/>
        <v>-9.4540714380000015</v>
      </c>
      <c r="O14" s="7">
        <f t="shared" si="6"/>
        <v>0.30374234700198982</v>
      </c>
      <c r="P14" s="7">
        <f t="shared" si="7"/>
        <v>-0.28407143800000156</v>
      </c>
    </row>
    <row r="15" spans="1:16" ht="18" customHeight="1">
      <c r="A15" s="24" t="s">
        <v>50</v>
      </c>
      <c r="C15" s="2"/>
      <c r="D15" s="2"/>
      <c r="E15" s="2"/>
      <c r="F15" s="2"/>
      <c r="G15" s="2"/>
      <c r="L15" s="44"/>
      <c r="P15" s="45"/>
    </row>
    <row r="16" spans="1:16" ht="18" customHeight="1">
      <c r="H16" s="5"/>
      <c r="I16" s="5"/>
      <c r="O16" s="5"/>
      <c r="P16" s="5"/>
    </row>
    <row r="17" spans="1:79" ht="18" customHeight="1">
      <c r="I17" s="5"/>
    </row>
    <row r="19" spans="1:79" ht="18" customHeight="1">
      <c r="I19" s="3"/>
      <c r="J19" s="3"/>
      <c r="K19" s="3"/>
      <c r="L19" s="3"/>
      <c r="M19" s="3"/>
    </row>
    <row r="20" spans="1:79" s="46" customFormat="1" ht="18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</row>
  </sheetData>
  <mergeCells count="5">
    <mergeCell ref="I3:O3"/>
    <mergeCell ref="C3:G3"/>
    <mergeCell ref="P3:P4"/>
    <mergeCell ref="A3:A4"/>
    <mergeCell ref="B3:B4"/>
  </mergeCells>
  <phoneticPr fontId="1"/>
  <pageMargins left="0.5" right="0.31" top="0.94" bottom="0.94" header="0.3" footer="0.3"/>
  <pageSetup paperSize="9" scale="82" orientation="landscape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C54AD-B4EB-174C-8662-DB5706ABCC3D}">
  <sheetPr>
    <pageSetUpPr fitToPage="1"/>
  </sheetPr>
  <dimension ref="A2:BY23"/>
  <sheetViews>
    <sheetView tabSelected="1" zoomScale="115" zoomScaleNormal="100" zoomScalePageLayoutView="81" workbookViewId="0">
      <selection activeCell="E7" sqref="E7"/>
    </sheetView>
  </sheetViews>
  <sheetFormatPr baseColWidth="10" defaultColWidth="10.140625" defaultRowHeight="18" customHeight="1"/>
  <cols>
    <col min="1" max="1" width="12.85546875" style="1" customWidth="1"/>
    <col min="2" max="3" width="8.7109375" style="1" customWidth="1"/>
    <col min="4" max="4" width="1.7109375" style="1" customWidth="1"/>
    <col min="5" max="8" width="8.7109375" style="1" customWidth="1"/>
    <col min="9" max="9" width="1.7109375" style="1" customWidth="1"/>
    <col min="10" max="11" width="8.7109375" style="1" customWidth="1"/>
    <col min="12" max="12" width="1.7109375" style="1" customWidth="1"/>
    <col min="13" max="16" width="8.7109375" style="1" customWidth="1"/>
    <col min="17" max="20" width="9.42578125" style="1" customWidth="1"/>
    <col min="21" max="23" width="8.7109375" style="1" customWidth="1"/>
    <col min="24" max="24" width="2.42578125" style="1" customWidth="1"/>
    <col min="25" max="26" width="8.7109375" style="1" customWidth="1"/>
    <col min="27" max="27" width="2.42578125" style="1" customWidth="1"/>
    <col min="28" max="29" width="8.7109375" style="1" customWidth="1"/>
    <col min="30" max="33" width="10.140625" style="1"/>
    <col min="34" max="37" width="9.42578125" style="1" customWidth="1"/>
    <col min="38" max="16384" width="10.140625" style="1"/>
  </cols>
  <sheetData>
    <row r="2" spans="1:16" ht="18" customHeight="1">
      <c r="A2" s="41" t="s">
        <v>51</v>
      </c>
      <c r="B2" s="41"/>
      <c r="C2" s="41"/>
      <c r="D2" s="41"/>
      <c r="E2" s="41"/>
      <c r="F2" s="41"/>
      <c r="G2" s="41"/>
      <c r="H2" s="41"/>
      <c r="I2" s="41"/>
      <c r="N2" s="41"/>
    </row>
    <row r="3" spans="1:16" ht="18" customHeight="1">
      <c r="A3" s="47"/>
      <c r="B3" s="35" t="s">
        <v>17</v>
      </c>
      <c r="C3" s="35"/>
      <c r="D3" s="35"/>
      <c r="E3" s="35"/>
      <c r="F3" s="35"/>
      <c r="G3" s="35"/>
      <c r="H3" s="35"/>
      <c r="I3" s="47"/>
      <c r="J3" s="32" t="s">
        <v>16</v>
      </c>
      <c r="K3" s="32"/>
      <c r="L3" s="32"/>
      <c r="M3" s="32"/>
      <c r="N3" s="32"/>
      <c r="O3" s="32"/>
      <c r="P3" s="32"/>
    </row>
    <row r="4" spans="1:16" ht="18" customHeight="1">
      <c r="A4" s="18"/>
      <c r="B4" s="38" t="s">
        <v>36</v>
      </c>
      <c r="C4" s="38"/>
      <c r="D4" s="15"/>
      <c r="E4" s="39" t="s">
        <v>42</v>
      </c>
      <c r="F4" s="39"/>
      <c r="G4" s="35" t="s">
        <v>34</v>
      </c>
      <c r="H4" s="30" t="s">
        <v>43</v>
      </c>
      <c r="I4" s="18"/>
      <c r="J4" s="38" t="s">
        <v>36</v>
      </c>
      <c r="K4" s="38"/>
      <c r="L4" s="15"/>
      <c r="M4" s="39" t="s">
        <v>42</v>
      </c>
      <c r="N4" s="39"/>
      <c r="O4" s="35" t="s">
        <v>34</v>
      </c>
      <c r="P4" s="30" t="s">
        <v>43</v>
      </c>
    </row>
    <row r="5" spans="1:16" ht="18" customHeight="1">
      <c r="A5" s="18"/>
      <c r="B5" s="23" t="s">
        <v>35</v>
      </c>
      <c r="C5" s="16" t="s">
        <v>43</v>
      </c>
      <c r="D5" s="16"/>
      <c r="E5" s="23" t="s">
        <v>35</v>
      </c>
      <c r="F5" s="16" t="s">
        <v>43</v>
      </c>
      <c r="G5" s="40"/>
      <c r="H5" s="31"/>
      <c r="I5" s="18"/>
      <c r="J5" s="23" t="s">
        <v>37</v>
      </c>
      <c r="K5" s="16" t="s">
        <v>43</v>
      </c>
      <c r="L5" s="16"/>
      <c r="M5" s="23" t="s">
        <v>37</v>
      </c>
      <c r="N5" s="16" t="s">
        <v>43</v>
      </c>
      <c r="O5" s="40"/>
      <c r="P5" s="31"/>
    </row>
    <row r="6" spans="1:16" ht="18" customHeight="1">
      <c r="A6" s="13" t="s">
        <v>39</v>
      </c>
      <c r="B6" s="19"/>
      <c r="C6" s="18"/>
      <c r="D6" s="18"/>
      <c r="E6" s="19"/>
      <c r="F6" s="18"/>
      <c r="G6" s="17"/>
      <c r="H6" s="18"/>
      <c r="I6" s="18"/>
      <c r="O6" s="17"/>
      <c r="P6" s="18"/>
    </row>
    <row r="7" spans="1:16" ht="18" customHeight="1">
      <c r="A7" s="2" t="s">
        <v>0</v>
      </c>
      <c r="B7" s="20" t="s">
        <v>41</v>
      </c>
      <c r="C7" s="20" t="s">
        <v>41</v>
      </c>
      <c r="D7" s="20"/>
      <c r="E7" s="20" t="s">
        <v>41</v>
      </c>
      <c r="F7" s="20" t="s">
        <v>41</v>
      </c>
      <c r="G7" s="20">
        <v>3.8981555555555563</v>
      </c>
      <c r="H7" s="20">
        <v>1.628485733343626</v>
      </c>
      <c r="I7" s="20"/>
      <c r="J7" s="22">
        <v>23.408021333333334</v>
      </c>
      <c r="K7" s="22">
        <v>0.28933625308036132</v>
      </c>
      <c r="L7" s="22"/>
      <c r="M7" s="22">
        <v>17.875225833333335</v>
      </c>
      <c r="N7" s="21">
        <v>0.52286555426122105</v>
      </c>
      <c r="O7" s="22">
        <f>J7-M7</f>
        <v>5.5327954999999989</v>
      </c>
      <c r="P7" s="22">
        <f>(K7*K7+N7*N7)^(1/2)</f>
        <v>0.59758167239254978</v>
      </c>
    </row>
    <row r="8" spans="1:16" ht="18" customHeight="1">
      <c r="A8" s="2" t="s">
        <v>1</v>
      </c>
      <c r="B8" s="20" t="s">
        <v>41</v>
      </c>
      <c r="C8" s="20" t="s">
        <v>41</v>
      </c>
      <c r="D8" s="20"/>
      <c r="E8" s="20" t="s">
        <v>41</v>
      </c>
      <c r="F8" s="20" t="s">
        <v>41</v>
      </c>
      <c r="G8" s="20">
        <v>11.889000000000005</v>
      </c>
      <c r="H8" s="20">
        <v>2.8215978924479304</v>
      </c>
      <c r="I8" s="20"/>
      <c r="J8" s="22">
        <v>17.729596416666666</v>
      </c>
      <c r="K8" s="22">
        <v>0.2986518116496969</v>
      </c>
      <c r="L8" s="22"/>
      <c r="M8" s="22">
        <v>16.09052183333333</v>
      </c>
      <c r="N8" s="20">
        <v>0.49039362064100694</v>
      </c>
      <c r="O8" s="22">
        <f t="shared" ref="O8:O13" si="0">J8-M8</f>
        <v>1.6390745833333362</v>
      </c>
      <c r="P8" s="22">
        <f t="shared" ref="P8:P13" si="1">(K8*K8+N8*N8)^(1/2)</f>
        <v>0.57417663464045787</v>
      </c>
    </row>
    <row r="9" spans="1:16" ht="18" customHeight="1">
      <c r="A9" s="2" t="s">
        <v>2</v>
      </c>
      <c r="B9" s="20" t="s">
        <v>41</v>
      </c>
      <c r="C9" s="20" t="s">
        <v>41</v>
      </c>
      <c r="D9" s="20"/>
      <c r="E9" s="20" t="s">
        <v>41</v>
      </c>
      <c r="F9" s="20" t="s">
        <v>41</v>
      </c>
      <c r="G9" s="20">
        <v>-2.7646666666669262E-2</v>
      </c>
      <c r="H9" s="20">
        <v>1.8388523359240472</v>
      </c>
      <c r="I9" s="20"/>
      <c r="J9" s="22">
        <v>17.822921583333329</v>
      </c>
      <c r="K9" s="22">
        <v>0.47865468602332018</v>
      </c>
      <c r="L9" s="22"/>
      <c r="M9" s="22">
        <v>13.033677500000001</v>
      </c>
      <c r="N9" s="20">
        <v>0.27618966459674377</v>
      </c>
      <c r="O9" s="22">
        <f t="shared" si="0"/>
        <v>4.7892440833333279</v>
      </c>
      <c r="P9" s="22">
        <f t="shared" si="1"/>
        <v>0.55262196778823869</v>
      </c>
    </row>
    <row r="10" spans="1:16" ht="18" customHeight="1">
      <c r="A10" s="2" t="s">
        <v>3</v>
      </c>
      <c r="B10" s="20" t="s">
        <v>41</v>
      </c>
      <c r="C10" s="20" t="s">
        <v>41</v>
      </c>
      <c r="D10" s="20"/>
      <c r="E10" s="20" t="s">
        <v>41</v>
      </c>
      <c r="F10" s="20" t="s">
        <v>41</v>
      </c>
      <c r="G10" s="20">
        <v>0.41517777777777809</v>
      </c>
      <c r="H10" s="20">
        <v>1.5763046283892865</v>
      </c>
      <c r="I10" s="20"/>
      <c r="J10" s="22">
        <v>12.542375249999999</v>
      </c>
      <c r="K10" s="22">
        <v>0.21290541541242755</v>
      </c>
      <c r="L10" s="22"/>
      <c r="M10" s="22">
        <v>9.5079425000000004</v>
      </c>
      <c r="N10" s="20">
        <v>0.54167726171794406</v>
      </c>
      <c r="O10" s="22">
        <f t="shared" si="0"/>
        <v>3.0344327499999988</v>
      </c>
      <c r="P10" s="22">
        <f t="shared" si="1"/>
        <v>0.58201629854686066</v>
      </c>
    </row>
    <row r="11" spans="1:16" ht="18" customHeight="1">
      <c r="A11" s="2" t="s">
        <v>38</v>
      </c>
      <c r="B11" s="20" t="s">
        <v>41</v>
      </c>
      <c r="C11" s="20" t="s">
        <v>41</v>
      </c>
      <c r="D11" s="20"/>
      <c r="E11" s="20" t="s">
        <v>41</v>
      </c>
      <c r="F11" s="20" t="s">
        <v>41</v>
      </c>
      <c r="G11" s="20">
        <v>0.40203333333333546</v>
      </c>
      <c r="H11" s="20">
        <v>2.1368545600346152</v>
      </c>
      <c r="I11" s="20"/>
      <c r="J11" s="22">
        <v>22.070860916666664</v>
      </c>
      <c r="K11" s="22">
        <v>0.31745632676739316</v>
      </c>
      <c r="L11" s="22"/>
      <c r="M11" s="22">
        <v>16.451295833333329</v>
      </c>
      <c r="N11" s="20">
        <v>0.25631862615421258</v>
      </c>
      <c r="O11" s="22">
        <f t="shared" si="0"/>
        <v>5.6195650833333346</v>
      </c>
      <c r="P11" s="22">
        <f t="shared" si="1"/>
        <v>0.40801685935538112</v>
      </c>
    </row>
    <row r="12" spans="1:16" ht="18" customHeight="1">
      <c r="A12" s="2" t="s">
        <v>7</v>
      </c>
      <c r="B12" s="20" t="s">
        <v>41</v>
      </c>
      <c r="C12" s="20" t="s">
        <v>41</v>
      </c>
      <c r="D12" s="20"/>
      <c r="E12" s="20" t="s">
        <v>41</v>
      </c>
      <c r="F12" s="20" t="s">
        <v>41</v>
      </c>
      <c r="G12" s="20">
        <v>3.4636800000000001</v>
      </c>
      <c r="H12" s="20">
        <v>1.6927907649401428</v>
      </c>
      <c r="I12" s="20"/>
      <c r="J12" s="22">
        <v>26.069270916666667</v>
      </c>
      <c r="K12" s="22">
        <v>0.24397318996181908</v>
      </c>
      <c r="L12" s="22"/>
      <c r="M12" s="22">
        <v>18.165064749999996</v>
      </c>
      <c r="N12" s="20">
        <v>0.14804083126645184</v>
      </c>
      <c r="O12" s="22">
        <f t="shared" si="0"/>
        <v>7.9042061666666719</v>
      </c>
      <c r="P12" s="22">
        <f t="shared" si="1"/>
        <v>0.28537520064330735</v>
      </c>
    </row>
    <row r="13" spans="1:16" ht="18" customHeight="1">
      <c r="A13" s="2" t="s">
        <v>8</v>
      </c>
      <c r="B13" s="20" t="s">
        <v>41</v>
      </c>
      <c r="C13" s="20" t="s">
        <v>41</v>
      </c>
      <c r="D13" s="20"/>
      <c r="E13" s="20" t="s">
        <v>41</v>
      </c>
      <c r="F13" s="20" t="s">
        <v>41</v>
      </c>
      <c r="G13" s="20">
        <v>-0.34339999999999549</v>
      </c>
      <c r="H13" s="20">
        <v>1.4395199295787209</v>
      </c>
      <c r="I13" s="20"/>
      <c r="J13" s="22">
        <v>4.4768042500000007</v>
      </c>
      <c r="K13" s="22">
        <v>8.4957895633293437E-2</v>
      </c>
      <c r="L13" s="22"/>
      <c r="M13" s="22">
        <v>3.9755160833333334</v>
      </c>
      <c r="N13" s="20">
        <v>0.28431590547865138</v>
      </c>
      <c r="O13" s="22">
        <f t="shared" si="0"/>
        <v>0.50128816666666731</v>
      </c>
      <c r="P13" s="22">
        <f t="shared" si="1"/>
        <v>0.29673789467909722</v>
      </c>
    </row>
    <row r="14" spans="1:16" ht="18" customHeight="1">
      <c r="B14" s="21"/>
      <c r="C14" s="21"/>
      <c r="D14" s="21"/>
      <c r="E14" s="21"/>
      <c r="F14" s="21"/>
      <c r="G14" s="21"/>
      <c r="H14" s="21"/>
      <c r="I14" s="21"/>
      <c r="J14" s="20"/>
      <c r="K14" s="20"/>
      <c r="L14" s="20"/>
      <c r="M14" s="20"/>
      <c r="N14" s="21"/>
      <c r="O14" s="22"/>
      <c r="P14" s="22"/>
    </row>
    <row r="15" spans="1:16" ht="18" customHeight="1">
      <c r="A15" s="13" t="s">
        <v>40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6" ht="18" customHeight="1">
      <c r="A16" s="2" t="s">
        <v>0</v>
      </c>
      <c r="B16" s="22">
        <v>-21.485111111111099</v>
      </c>
      <c r="C16" s="22">
        <v>0.18007776098118849</v>
      </c>
      <c r="D16" s="22"/>
      <c r="E16" s="22">
        <v>-24.288888888888863</v>
      </c>
      <c r="F16" s="22">
        <v>0.89585553977644605</v>
      </c>
      <c r="G16" s="22">
        <f>B16-E16</f>
        <v>2.8037777777777642</v>
      </c>
      <c r="H16" s="22">
        <f>(C16*C16+F16*F16)^(1/2)</f>
        <v>0.9137752175169479</v>
      </c>
      <c r="I16" s="22"/>
      <c r="J16" s="22">
        <v>23.665258399999999</v>
      </c>
      <c r="K16" s="22">
        <v>0.124558745</v>
      </c>
      <c r="L16" s="22"/>
      <c r="M16" s="22">
        <v>17.998456999999998</v>
      </c>
      <c r="N16" s="21">
        <v>0.23154587452</v>
      </c>
      <c r="O16" s="22">
        <f>J16-M16</f>
        <v>5.6668014000000007</v>
      </c>
      <c r="P16" s="22">
        <f>(K16*K16+N16*N16)^(1/2)</f>
        <v>0.26292275094256601</v>
      </c>
    </row>
    <row r="17" spans="1:77" ht="18" customHeight="1">
      <c r="A17" s="2" t="s">
        <v>1</v>
      </c>
      <c r="B17" s="22">
        <v>-4.3648333333333085</v>
      </c>
      <c r="C17" s="22">
        <v>0.17722396376714253</v>
      </c>
      <c r="D17" s="22"/>
      <c r="E17" s="22">
        <v>-14.186499999999986</v>
      </c>
      <c r="F17" s="22">
        <v>1.1528262372679312</v>
      </c>
      <c r="G17" s="22">
        <f t="shared" ref="G17:G22" si="2">B17-E17</f>
        <v>9.8216666666666779</v>
      </c>
      <c r="H17" s="22">
        <f t="shared" ref="H17:H22" si="3">(C17*C17+F17*F17)^(1/2)</f>
        <v>1.1663690096477504</v>
      </c>
      <c r="I17" s="22"/>
      <c r="J17" s="22">
        <v>18.02158455</v>
      </c>
      <c r="K17" s="22">
        <v>0.26554845599999999</v>
      </c>
      <c r="L17" s="22"/>
      <c r="M17" s="22">
        <v>16.126452</v>
      </c>
      <c r="N17" s="20">
        <v>0.36559445511999999</v>
      </c>
      <c r="O17" s="22">
        <f t="shared" ref="O17:O22" si="4">J17-M17</f>
        <v>1.8951325499999996</v>
      </c>
      <c r="P17" s="22">
        <f t="shared" ref="P17:P22" si="5">(K17*K17+N17*N17)^(1/2)</f>
        <v>0.45185759714590795</v>
      </c>
    </row>
    <row r="18" spans="1:77" ht="18" customHeight="1">
      <c r="A18" s="2" t="s">
        <v>2</v>
      </c>
      <c r="B18" s="22">
        <v>-27.25139999999999</v>
      </c>
      <c r="C18" s="22">
        <v>0.57971449294746469</v>
      </c>
      <c r="D18" s="22"/>
      <c r="E18" s="22">
        <v>-27.04079999999999</v>
      </c>
      <c r="F18" s="22">
        <v>0.98408654768436654</v>
      </c>
      <c r="G18" s="22">
        <f t="shared" si="2"/>
        <v>-0.21059999999999945</v>
      </c>
      <c r="H18" s="22">
        <f t="shared" si="3"/>
        <v>1.1421450112252258</v>
      </c>
      <c r="I18" s="22"/>
      <c r="J18" s="22">
        <v>18.021584000000001</v>
      </c>
      <c r="K18" s="22">
        <v>0.32655447999999998</v>
      </c>
      <c r="L18" s="22"/>
      <c r="M18" s="22">
        <v>12.96584</v>
      </c>
      <c r="N18" s="20">
        <v>0.33663599999999999</v>
      </c>
      <c r="O18" s="22">
        <f t="shared" si="4"/>
        <v>5.0557440000000007</v>
      </c>
      <c r="P18" s="22">
        <f t="shared" si="5"/>
        <v>0.46900066620855713</v>
      </c>
    </row>
    <row r="19" spans="1:77" s="46" customFormat="1" ht="18" customHeight="1">
      <c r="A19" s="2" t="s">
        <v>3</v>
      </c>
      <c r="B19" s="22">
        <v>-27.445055555555552</v>
      </c>
      <c r="C19" s="22">
        <v>0.14025254998671918</v>
      </c>
      <c r="D19" s="22"/>
      <c r="E19" s="22">
        <v>-27.188388888888881</v>
      </c>
      <c r="F19" s="22">
        <v>0.92450365061475126</v>
      </c>
      <c r="G19" s="22">
        <f t="shared" si="2"/>
        <v>-0.25666666666667126</v>
      </c>
      <c r="H19" s="22">
        <f t="shared" si="3"/>
        <v>0.93508169577731504</v>
      </c>
      <c r="I19" s="22"/>
      <c r="J19" s="22">
        <v>12.721546999999999</v>
      </c>
      <c r="K19" s="22">
        <v>0.21861689670997</v>
      </c>
      <c r="L19" s="22"/>
      <c r="M19" s="22">
        <v>9.2352480000000003</v>
      </c>
      <c r="N19" s="20">
        <v>0.32154864500000002</v>
      </c>
      <c r="O19" s="22">
        <f t="shared" si="4"/>
        <v>3.4862989999999989</v>
      </c>
      <c r="P19" s="22">
        <f t="shared" si="5"/>
        <v>0.3888275692751656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</row>
    <row r="20" spans="1:77" ht="18" customHeight="1">
      <c r="A20" s="2" t="s">
        <v>38</v>
      </c>
      <c r="B20" s="22">
        <v>-22.187277777777769</v>
      </c>
      <c r="C20" s="22">
        <v>0.6165359621243417</v>
      </c>
      <c r="D20" s="22"/>
      <c r="E20" s="22">
        <v>-22.010722222222213</v>
      </c>
      <c r="F20" s="22">
        <v>0.33784217222444662</v>
      </c>
      <c r="G20" s="22">
        <f t="shared" si="2"/>
        <v>-0.1765555555555558</v>
      </c>
      <c r="H20" s="22">
        <f t="shared" si="3"/>
        <v>0.70303195227949655</v>
      </c>
      <c r="I20" s="22"/>
      <c r="J20" s="22">
        <v>22.230225000000001</v>
      </c>
      <c r="K20" s="22">
        <v>0.36594579999999999</v>
      </c>
      <c r="L20" s="22"/>
      <c r="M20" s="22">
        <v>16.625845000000002</v>
      </c>
      <c r="N20" s="20">
        <v>0.45832250000000002</v>
      </c>
      <c r="O20" s="22">
        <f t="shared" si="4"/>
        <v>5.604379999999999</v>
      </c>
      <c r="P20" s="22">
        <f t="shared" si="5"/>
        <v>0.58649453752263547</v>
      </c>
    </row>
    <row r="21" spans="1:77" ht="18" customHeight="1">
      <c r="A21" s="2" t="s">
        <v>7</v>
      </c>
      <c r="B21" s="22">
        <v>-17.552088888888864</v>
      </c>
      <c r="C21" s="22">
        <v>0.46858242960372898</v>
      </c>
      <c r="D21" s="22"/>
      <c r="E21" s="22">
        <v>-19.338755555555533</v>
      </c>
      <c r="F21" s="22">
        <v>0.43408484577710732</v>
      </c>
      <c r="G21" s="22">
        <f t="shared" si="2"/>
        <v>1.7866666666666688</v>
      </c>
      <c r="H21" s="22">
        <f t="shared" si="3"/>
        <v>0.63874810893392764</v>
      </c>
      <c r="I21" s="22"/>
      <c r="J21" s="22">
        <v>26.126453000000001</v>
      </c>
      <c r="K21" s="22">
        <v>0.54584512500000004</v>
      </c>
      <c r="L21" s="22"/>
      <c r="M21" s="22">
        <v>18.124575</v>
      </c>
      <c r="N21" s="20">
        <v>0.26787590999999999</v>
      </c>
      <c r="O21" s="22">
        <f t="shared" si="4"/>
        <v>8.0018780000000014</v>
      </c>
      <c r="P21" s="22">
        <f t="shared" si="5"/>
        <v>0.60803322577355412</v>
      </c>
    </row>
    <row r="22" spans="1:77" ht="18" customHeight="1">
      <c r="A22" s="9" t="s">
        <v>8</v>
      </c>
      <c r="B22" s="25">
        <v>-23.222592592592591</v>
      </c>
      <c r="C22" s="25">
        <v>0.14012194865126384</v>
      </c>
      <c r="D22" s="25"/>
      <c r="E22" s="25">
        <v>-23.220074074074066</v>
      </c>
      <c r="F22" s="25">
        <v>0.61592357964854549</v>
      </c>
      <c r="G22" s="25">
        <f t="shared" si="2"/>
        <v>-2.5185185185243597E-3</v>
      </c>
      <c r="H22" s="25">
        <f t="shared" si="3"/>
        <v>0.63166131467813158</v>
      </c>
      <c r="I22" s="25"/>
      <c r="J22" s="25">
        <v>4.3265450000000003</v>
      </c>
      <c r="K22" s="25">
        <v>0.25548456200000003</v>
      </c>
      <c r="L22" s="25"/>
      <c r="M22" s="25">
        <v>3.9264649999999999</v>
      </c>
      <c r="N22" s="26">
        <v>0.394578712</v>
      </c>
      <c r="O22" s="25">
        <f t="shared" si="4"/>
        <v>0.40008000000000044</v>
      </c>
      <c r="P22" s="25">
        <f t="shared" si="5"/>
        <v>0.47006884749354622</v>
      </c>
    </row>
    <row r="23" spans="1:77" ht="18" customHeight="1">
      <c r="A23" s="24" t="s">
        <v>44</v>
      </c>
      <c r="J23" s="20"/>
      <c r="K23" s="20"/>
      <c r="L23" s="20"/>
      <c r="M23" s="20"/>
      <c r="N23" s="21"/>
    </row>
  </sheetData>
  <mergeCells count="10">
    <mergeCell ref="B4:C4"/>
    <mergeCell ref="E4:F4"/>
    <mergeCell ref="G4:G5"/>
    <mergeCell ref="H4:H5"/>
    <mergeCell ref="B3:H3"/>
    <mergeCell ref="J4:K4"/>
    <mergeCell ref="M4:N4"/>
    <mergeCell ref="O4:O5"/>
    <mergeCell ref="P4:P5"/>
    <mergeCell ref="J3:P3"/>
  </mergeCells>
  <phoneticPr fontId="1"/>
  <pageMargins left="0.5" right="0.31" top="0.94" bottom="0.94" header="0.3" footer="0.3"/>
  <pageSetup paperSize="9" scale="89"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S Table 1</vt:lpstr>
      <vt:lpstr>S Table 2</vt:lpstr>
      <vt:lpstr>S Table 3</vt:lpstr>
      <vt:lpstr>'S Table 1'!Print_Area</vt:lpstr>
      <vt:lpstr>'S Table 2'!Print_Area</vt:lpstr>
      <vt:lpstr>'S Table 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力石　嘉人</dc:creator>
  <cp:lastModifiedBy>力石　嘉人</cp:lastModifiedBy>
  <dcterms:created xsi:type="dcterms:W3CDTF">2025-05-15T10:04:40Z</dcterms:created>
  <dcterms:modified xsi:type="dcterms:W3CDTF">2025-08-23T03:12:19Z</dcterms:modified>
</cp:coreProperties>
</file>