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edwardbraun/IN_PROGRESS/Gallus_phylogenome_project/01-Manuscript-Gallus/Gallus_phylogenome_supporting_files/"/>
    </mc:Choice>
  </mc:AlternateContent>
  <xr:revisionPtr revIDLastSave="0" documentId="13_ncr:1_{77A69788-6480-574B-8220-446DA71D4440}" xr6:coauthVersionLast="45" xr6:coauthVersionMax="45" xr10:uidLastSave="{00000000-0000-0000-0000-000000000000}"/>
  <bookViews>
    <workbookView xWindow="580" yWindow="500" windowWidth="27920" windowHeight="16500" xr2:uid="{4E75A949-6D3E-9147-B0D2-E2E73C90E175}"/>
  </bookViews>
  <sheets>
    <sheet name="Gene trees counts" sheetId="1" r:id="rId1"/>
    <sheet name="Data type inf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F19" i="2" l="1"/>
  <c r="AF18" i="2"/>
  <c r="AA3" i="2"/>
  <c r="AE3" i="2" s="1"/>
  <c r="AG3" i="2"/>
  <c r="AF3" i="2"/>
  <c r="AE16" i="2"/>
  <c r="AC3" i="2"/>
  <c r="AB3" i="2"/>
  <c r="AA16" i="2"/>
  <c r="X18" i="2"/>
  <c r="AG16" i="2"/>
  <c r="AF16" i="2"/>
  <c r="AG11" i="2"/>
  <c r="AF11" i="2"/>
  <c r="AE11" i="2"/>
  <c r="AG7" i="2"/>
  <c r="AF7" i="2"/>
  <c r="AE7" i="2"/>
  <c r="AG6" i="2"/>
  <c r="AF6" i="2"/>
  <c r="AE6" i="2"/>
  <c r="AG5" i="2"/>
  <c r="AF5" i="2"/>
  <c r="AE5" i="2"/>
  <c r="AG2" i="2"/>
  <c r="AF2" i="2"/>
  <c r="AE2" i="2"/>
  <c r="AC16" i="2"/>
  <c r="AB16" i="2"/>
  <c r="AC11" i="2"/>
  <c r="AB11" i="2"/>
  <c r="AA11" i="2"/>
  <c r="AC7" i="2"/>
  <c r="AB7" i="2"/>
  <c r="AA7" i="2"/>
  <c r="AC6" i="2"/>
  <c r="AB6" i="2"/>
  <c r="AA6" i="2"/>
  <c r="AC5" i="2"/>
  <c r="AB5" i="2"/>
  <c r="AA5" i="2"/>
  <c r="AC2" i="2"/>
  <c r="AB2" i="2"/>
  <c r="AA2" i="2"/>
  <c r="X19" i="2" l="1"/>
  <c r="M16" i="2" l="1"/>
  <c r="M15" i="2"/>
  <c r="M14" i="2"/>
  <c r="M13" i="2"/>
  <c r="M12" i="2"/>
  <c r="M11" i="2"/>
  <c r="M10" i="2"/>
  <c r="M9" i="2"/>
  <c r="M8" i="2"/>
  <c r="M7" i="2"/>
  <c r="M6" i="2"/>
  <c r="M5" i="2"/>
  <c r="M4" i="2"/>
  <c r="M3" i="2"/>
  <c r="M2" i="2"/>
  <c r="G16" i="1"/>
  <c r="G15" i="1"/>
  <c r="G14" i="1"/>
  <c r="G13" i="1"/>
  <c r="G12" i="1"/>
  <c r="G11" i="1"/>
  <c r="G10" i="1"/>
  <c r="G9" i="1"/>
  <c r="G8" i="1"/>
  <c r="G7" i="1"/>
  <c r="G6" i="1"/>
  <c r="G5" i="1"/>
  <c r="G4" i="1"/>
  <c r="G3" i="1"/>
  <c r="G2" i="1"/>
  <c r="P3" i="2" l="1"/>
  <c r="T3" i="2" s="1"/>
  <c r="X3" i="2" s="1"/>
  <c r="P11" i="2"/>
  <c r="T11" i="2" s="1"/>
  <c r="X11" i="2" s="1"/>
  <c r="Q4" i="2"/>
  <c r="U4" i="2" s="1"/>
  <c r="Y4" i="2" s="1"/>
  <c r="Q11" i="2"/>
  <c r="U11" i="2" s="1"/>
  <c r="Y11" i="2" s="1"/>
  <c r="Q6" i="2"/>
  <c r="U6" i="2" s="1"/>
  <c r="Y6" i="2" s="1"/>
  <c r="P9" i="2"/>
  <c r="T9" i="2" s="1"/>
  <c r="X9" i="2" s="1"/>
  <c r="Q7" i="2"/>
  <c r="U7" i="2" s="1"/>
  <c r="Y7" i="2" s="1"/>
  <c r="M18" i="2"/>
  <c r="P8" i="2"/>
  <c r="T8" i="2" s="1"/>
  <c r="X8" i="2" s="1"/>
  <c r="P16" i="2"/>
  <c r="T16" i="2" s="1"/>
  <c r="X16" i="2" s="1"/>
  <c r="K10" i="2"/>
  <c r="F18" i="2"/>
  <c r="K6" i="2" s="1"/>
  <c r="E18" i="2"/>
  <c r="D18" i="2"/>
  <c r="O14" i="2" s="1"/>
  <c r="S14" i="2" s="1"/>
  <c r="W14" i="2" s="1"/>
  <c r="I16" i="1"/>
  <c r="I15" i="1"/>
  <c r="I14" i="1"/>
  <c r="I13" i="1"/>
  <c r="I12" i="1"/>
  <c r="I11" i="1"/>
  <c r="I10" i="1"/>
  <c r="I9" i="1"/>
  <c r="I8" i="1"/>
  <c r="I7" i="1"/>
  <c r="I6" i="1"/>
  <c r="I5" i="1"/>
  <c r="I4" i="1"/>
  <c r="I3" i="1"/>
  <c r="I2" i="1"/>
  <c r="F16" i="1"/>
  <c r="K16" i="1" s="1"/>
  <c r="L16" i="1" s="1"/>
  <c r="F15" i="1"/>
  <c r="K15" i="1" s="1"/>
  <c r="L15" i="1" s="1"/>
  <c r="F14" i="1"/>
  <c r="K14" i="1" s="1"/>
  <c r="L14" i="1" s="1"/>
  <c r="F13" i="1"/>
  <c r="K13" i="1" s="1"/>
  <c r="L13" i="1" s="1"/>
  <c r="F12" i="1"/>
  <c r="K12" i="1" s="1"/>
  <c r="L12" i="1" s="1"/>
  <c r="F11" i="1"/>
  <c r="K11" i="1" s="1"/>
  <c r="L11" i="1" s="1"/>
  <c r="F10" i="1"/>
  <c r="K10" i="1" s="1"/>
  <c r="L10" i="1" s="1"/>
  <c r="F9" i="1"/>
  <c r="K9" i="1" s="1"/>
  <c r="L9" i="1" s="1"/>
  <c r="F8" i="1"/>
  <c r="K8" i="1" s="1"/>
  <c r="L8" i="1" s="1"/>
  <c r="F7" i="1"/>
  <c r="K7" i="1" s="1"/>
  <c r="L7" i="1" s="1"/>
  <c r="F6" i="1"/>
  <c r="K6" i="1" s="1"/>
  <c r="L6" i="1" s="1"/>
  <c r="F5" i="1"/>
  <c r="K5" i="1" s="1"/>
  <c r="L5" i="1" s="1"/>
  <c r="F4" i="1"/>
  <c r="K4" i="1" s="1"/>
  <c r="L4" i="1" s="1"/>
  <c r="F3" i="1"/>
  <c r="K3" i="1" s="1"/>
  <c r="L3" i="1" s="1"/>
  <c r="F2" i="1"/>
  <c r="K2" i="1" s="1"/>
  <c r="L2" i="1" s="1"/>
  <c r="H18" i="1"/>
  <c r="O12" i="2" l="1"/>
  <c r="S12" i="2" s="1"/>
  <c r="W12" i="2" s="1"/>
  <c r="O2" i="2"/>
  <c r="S2" i="2" s="1"/>
  <c r="W2" i="2" s="1"/>
  <c r="J13" i="2"/>
  <c r="P14" i="2"/>
  <c r="T14" i="2" s="1"/>
  <c r="X14" i="2" s="1"/>
  <c r="P10" i="2"/>
  <c r="T10" i="2" s="1"/>
  <c r="X10" i="2" s="1"/>
  <c r="P6" i="2"/>
  <c r="T6" i="2" s="1"/>
  <c r="X6" i="2" s="1"/>
  <c r="P2" i="2"/>
  <c r="T2" i="2" s="1"/>
  <c r="X2" i="2" s="1"/>
  <c r="Q15" i="2"/>
  <c r="U15" i="2" s="1"/>
  <c r="Y15" i="2" s="1"/>
  <c r="P12" i="2"/>
  <c r="T12" i="2" s="1"/>
  <c r="X12" i="2" s="1"/>
  <c r="P4" i="2"/>
  <c r="T4" i="2" s="1"/>
  <c r="X4" i="2" s="1"/>
  <c r="O16" i="2"/>
  <c r="S16" i="2" s="1"/>
  <c r="W16" i="2" s="1"/>
  <c r="Q10" i="2"/>
  <c r="U10" i="2" s="1"/>
  <c r="Y10" i="2" s="1"/>
  <c r="P5" i="2"/>
  <c r="T5" i="2" s="1"/>
  <c r="X5" i="2" s="1"/>
  <c r="Q16" i="2"/>
  <c r="U16" i="2" s="1"/>
  <c r="Y16" i="2" s="1"/>
  <c r="P15" i="2"/>
  <c r="T15" i="2" s="1"/>
  <c r="X15" i="2" s="1"/>
  <c r="Q13" i="2"/>
  <c r="U13" i="2" s="1"/>
  <c r="Y13" i="2" s="1"/>
  <c r="O13" i="2"/>
  <c r="S13" i="2" s="1"/>
  <c r="W13" i="2" s="1"/>
  <c r="O9" i="2"/>
  <c r="S9" i="2" s="1"/>
  <c r="W9" i="2" s="1"/>
  <c r="O5" i="2"/>
  <c r="S5" i="2" s="1"/>
  <c r="W5" i="2" s="1"/>
  <c r="O15" i="2"/>
  <c r="S15" i="2" s="1"/>
  <c r="W15" i="2" s="1"/>
  <c r="O7" i="2"/>
  <c r="S7" i="2" s="1"/>
  <c r="W7" i="2" s="1"/>
  <c r="Q3" i="2"/>
  <c r="U3" i="2" s="1"/>
  <c r="Y3" i="2" s="1"/>
  <c r="O11" i="2"/>
  <c r="S11" i="2" s="1"/>
  <c r="W11" i="2" s="1"/>
  <c r="O3" i="2"/>
  <c r="S3" i="2" s="1"/>
  <c r="W3" i="2" s="1"/>
  <c r="Q14" i="2"/>
  <c r="U14" i="2" s="1"/>
  <c r="Y14" i="2" s="1"/>
  <c r="O4" i="2"/>
  <c r="S4" i="2" s="1"/>
  <c r="W4" i="2" s="1"/>
  <c r="Q12" i="2"/>
  <c r="U12" i="2" s="1"/>
  <c r="Y12" i="2" s="1"/>
  <c r="O10" i="2"/>
  <c r="S10" i="2" s="1"/>
  <c r="W10" i="2" s="1"/>
  <c r="Q9" i="2"/>
  <c r="U9" i="2" s="1"/>
  <c r="Y9" i="2" s="1"/>
  <c r="L18" i="1"/>
  <c r="L19" i="1" s="1"/>
  <c r="I2" i="2"/>
  <c r="P13" i="2"/>
  <c r="T13" i="2" s="1"/>
  <c r="X13" i="2" s="1"/>
  <c r="O8" i="2"/>
  <c r="S8" i="2" s="1"/>
  <c r="W8" i="2" s="1"/>
  <c r="Q2" i="2"/>
  <c r="U2" i="2" s="1"/>
  <c r="Y2" i="2" s="1"/>
  <c r="Q8" i="2"/>
  <c r="U8" i="2" s="1"/>
  <c r="Y8" i="2" s="1"/>
  <c r="P7" i="2"/>
  <c r="T7" i="2" s="1"/>
  <c r="X7" i="2" s="1"/>
  <c r="O6" i="2"/>
  <c r="S6" i="2" s="1"/>
  <c r="W6" i="2" s="1"/>
  <c r="Q5" i="2"/>
  <c r="U5" i="2" s="1"/>
  <c r="Y5" i="2" s="1"/>
  <c r="J12" i="2"/>
  <c r="K2" i="2"/>
  <c r="J6" i="2"/>
  <c r="I14" i="2"/>
  <c r="J2" i="2"/>
  <c r="J8" i="2"/>
  <c r="J15" i="2"/>
  <c r="J4" i="2"/>
  <c r="J9" i="2"/>
  <c r="J14" i="2"/>
  <c r="K13" i="2"/>
  <c r="J5" i="2"/>
  <c r="J10" i="2"/>
  <c r="J16" i="2"/>
  <c r="K14" i="2"/>
  <c r="K15" i="2"/>
  <c r="K3" i="2"/>
  <c r="K7" i="2"/>
  <c r="K11" i="2"/>
  <c r="J3" i="2"/>
  <c r="J7" i="2"/>
  <c r="J11" i="2"/>
  <c r="K4" i="2"/>
  <c r="K8" i="2"/>
  <c r="K12" i="2"/>
  <c r="K16" i="2"/>
  <c r="K5" i="2"/>
  <c r="K9" i="2"/>
  <c r="I15" i="2"/>
  <c r="I16" i="2"/>
  <c r="I3" i="2"/>
  <c r="I7" i="2"/>
  <c r="I11" i="2"/>
  <c r="I4" i="2"/>
  <c r="I8" i="2"/>
  <c r="I12" i="2"/>
  <c r="I5" i="2"/>
  <c r="I9" i="2"/>
  <c r="I13" i="2"/>
  <c r="I6" i="2"/>
  <c r="I10" i="2"/>
</calcChain>
</file>

<file path=xl/sharedStrings.xml><?xml version="1.0" encoding="utf-8"?>
<sst xmlns="http://schemas.openxmlformats.org/spreadsheetml/2006/main" count="105" uniqueCount="62">
  <si>
    <t>topo_01</t>
  </si>
  <si>
    <t>topo_02</t>
  </si>
  <si>
    <t>topo_03</t>
  </si>
  <si>
    <t>topo_04</t>
  </si>
  <si>
    <t>(((Glaf,Gson),Ggal),Gvar,Btho);</t>
  </si>
  <si>
    <t>topo_05</t>
  </si>
  <si>
    <t>(((Glaf,Gson),Gvar),Ggal,Btho);</t>
  </si>
  <si>
    <t>topo_06</t>
  </si>
  <si>
    <t>(((Glaf,Ggal),Gson),Gvar,Btho);</t>
  </si>
  <si>
    <t>topo_07</t>
  </si>
  <si>
    <t>(((Glaf,Ggal),Gvar),Gson,Btho);</t>
  </si>
  <si>
    <t>topo_08</t>
  </si>
  <si>
    <t>(((Glaf,Gvar),Gson),Ggal,Btho);</t>
  </si>
  <si>
    <t>topo_09</t>
  </si>
  <si>
    <t>(((Glaf,Gvar),Ggal),Gson,Btho);</t>
  </si>
  <si>
    <t>topo_10</t>
  </si>
  <si>
    <t>(((Gson,Ggal),Glaf),Gvar,Btho);</t>
  </si>
  <si>
    <t>topo_11</t>
  </si>
  <si>
    <t>(((Gson,Ggal),Gvar),Glaf,Btho);</t>
  </si>
  <si>
    <t>topo_12</t>
  </si>
  <si>
    <t>(((Gson,Gvar),Glaf),Ggal,Btho);</t>
  </si>
  <si>
    <t>topo_13</t>
  </si>
  <si>
    <t>(((Gson,Gvar),Ggal),Glaf,Btho);</t>
  </si>
  <si>
    <t>topo_14</t>
  </si>
  <si>
    <t>(((Ggal,Gvar),Glaf),Gson,Btho);</t>
  </si>
  <si>
    <t>topo_15</t>
  </si>
  <si>
    <t>(((Ggal,Gvar),Gson),Glaf,Btho);</t>
  </si>
  <si>
    <t>Tree</t>
  </si>
  <si>
    <t>Label</t>
  </si>
  <si>
    <t>#</t>
  </si>
  <si>
    <t>Obs count</t>
  </si>
  <si>
    <t>Obs prop</t>
  </si>
  <si>
    <t>((Glaf,Gson),(Ggal,Gvar),Btho);</t>
  </si>
  <si>
    <t>((Glaf,Ggal),(Gson,Gvar),Btho);</t>
  </si>
  <si>
    <t># of trees =</t>
  </si>
  <si>
    <t>EXON count</t>
  </si>
  <si>
    <t>INTRON count</t>
  </si>
  <si>
    <t>UCE count</t>
  </si>
  <si>
    <t>ALL exp prop</t>
  </si>
  <si>
    <t>ALL obs prop</t>
  </si>
  <si>
    <t>EXON obs prop</t>
  </si>
  <si>
    <t>INTRON obs prop</t>
  </si>
  <si>
    <t>UCE obs prop</t>
  </si>
  <si>
    <t>((Glaf,Gvar),(Gson,Ggal),Btho);</t>
  </si>
  <si>
    <t>GT exp prop</t>
  </si>
  <si>
    <t>GT exp count</t>
  </si>
  <si>
    <t>TV exp prop</t>
  </si>
  <si>
    <t>TV exp count</t>
  </si>
  <si>
    <t>Obs - Exp GT</t>
  </si>
  <si>
    <t>(O-E)^2/E</t>
  </si>
  <si>
    <t>chi-square =</t>
  </si>
  <si>
    <t>P =</t>
  </si>
  <si>
    <t>Exon (O-E)^2/E</t>
  </si>
  <si>
    <t>Intron (O-E)^2/E</t>
  </si>
  <si>
    <t>UCE O-E</t>
  </si>
  <si>
    <t>UCE (O-E)^2/E</t>
  </si>
  <si>
    <t>ALL count</t>
  </si>
  <si>
    <t>EXON exp</t>
  </si>
  <si>
    <t>INTRON exp</t>
  </si>
  <si>
    <t>UCE exp</t>
  </si>
  <si>
    <t>EXON O-E</t>
  </si>
  <si>
    <t>INTRON 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</si>
</sst>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Observed</a:t>
            </a:r>
            <a:r>
              <a:rPr lang="en-US" baseline="0"/>
              <a:t> and Expected G</a:t>
            </a:r>
            <a:r>
              <a:rPr lang="en-US"/>
              <a:t>ene Tree Counts</a:t>
            </a:r>
            <a:r>
              <a:rPr lang="en-US" baseline="0"/>
              <a: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'Gene trees counts'!$F$1</c:f>
              <c:strCache>
                <c:ptCount val="1"/>
                <c:pt idx="0">
                  <c:v>GT exp count</c:v>
                </c:pt>
              </c:strCache>
            </c:strRef>
          </c:tx>
          <c:spPr>
            <a:solidFill>
              <a:schemeClr val="accent1"/>
            </a:solidFill>
            <a:ln>
              <a:noFill/>
            </a:ln>
            <a:effectLst/>
          </c:spPr>
          <c:invertIfNegative val="0"/>
          <c:val>
            <c:numRef>
              <c:f>'Gene trees counts'!$F$2:$F$16</c:f>
              <c:numCache>
                <c:formatCode>General</c:formatCode>
                <c:ptCount val="15"/>
                <c:pt idx="0">
                  <c:v>487.31356447317705</c:v>
                </c:pt>
                <c:pt idx="1">
                  <c:v>154.09440303919635</c:v>
                </c:pt>
                <c:pt idx="2">
                  <c:v>154.09440303919635</c:v>
                </c:pt>
                <c:pt idx="3">
                  <c:v>1246.0190326789245</c:v>
                </c:pt>
                <c:pt idx="4">
                  <c:v>466.11792979672811</c:v>
                </c:pt>
                <c:pt idx="5">
                  <c:v>252.69466109429007</c:v>
                </c:pt>
                <c:pt idx="6">
                  <c:v>132.89876836274502</c:v>
                </c:pt>
                <c:pt idx="7">
                  <c:v>21.19563467645138</c:v>
                </c:pt>
                <c:pt idx="8">
                  <c:v>21.19563467645138</c:v>
                </c:pt>
                <c:pt idx="9">
                  <c:v>252.69466109429007</c:v>
                </c:pt>
                <c:pt idx="10">
                  <c:v>132.89876836274502</c:v>
                </c:pt>
                <c:pt idx="11">
                  <c:v>21.19563467645138</c:v>
                </c:pt>
                <c:pt idx="12">
                  <c:v>21.19563467645138</c:v>
                </c:pt>
                <c:pt idx="13">
                  <c:v>21.19563467645138</c:v>
                </c:pt>
                <c:pt idx="14">
                  <c:v>21.19563467645138</c:v>
                </c:pt>
              </c:numCache>
            </c:numRef>
          </c:val>
          <c:extLst>
            <c:ext xmlns:c16="http://schemas.microsoft.com/office/drawing/2014/chart" uri="{C3380CC4-5D6E-409C-BE32-E72D297353CC}">
              <c16:uniqueId val="{00000000-E64D-D145-B10F-2A865C5BEE8A}"/>
            </c:ext>
          </c:extLst>
        </c:ser>
        <c:ser>
          <c:idx val="1"/>
          <c:order val="1"/>
          <c:tx>
            <c:strRef>
              <c:f>'Gene trees counts'!$G$1</c:f>
              <c:strCache>
                <c:ptCount val="1"/>
                <c:pt idx="0">
                  <c:v>TV exp count</c:v>
                </c:pt>
              </c:strCache>
            </c:strRef>
          </c:tx>
          <c:spPr>
            <a:solidFill>
              <a:schemeClr val="accent2"/>
            </a:solidFill>
            <a:ln>
              <a:noFill/>
            </a:ln>
            <a:effectLst/>
          </c:spPr>
          <c:invertIfNegative val="0"/>
          <c:val>
            <c:numRef>
              <c:f>'Gene trees counts'!$G$2:$G$16</c:f>
              <c:numCache>
                <c:formatCode>General</c:formatCode>
                <c:ptCount val="15"/>
                <c:pt idx="0">
                  <c:v>474.89533028376849</c:v>
                </c:pt>
                <c:pt idx="1">
                  <c:v>200.47542329676114</c:v>
                </c:pt>
                <c:pt idx="2">
                  <c:v>200.47542329676114</c:v>
                </c:pt>
                <c:pt idx="3">
                  <c:v>992.14340689364144</c:v>
                </c:pt>
                <c:pt idx="4">
                  <c:v>441.62243714273887</c:v>
                </c:pt>
                <c:pt idx="5">
                  <c:v>281.17277996434325</c:v>
                </c:pt>
                <c:pt idx="6">
                  <c:v>167.20253015573124</c:v>
                </c:pt>
                <c:pt idx="7">
                  <c:v>33.272893141029812</c:v>
                </c:pt>
                <c:pt idx="8">
                  <c:v>33.272893141029812</c:v>
                </c:pt>
                <c:pt idx="9">
                  <c:v>281.17277996434325</c:v>
                </c:pt>
                <c:pt idx="10">
                  <c:v>167.20253015573124</c:v>
                </c:pt>
                <c:pt idx="11">
                  <c:v>33.272893141029812</c:v>
                </c:pt>
                <c:pt idx="12">
                  <c:v>33.272893141029812</c:v>
                </c:pt>
                <c:pt idx="13">
                  <c:v>33.272893141029812</c:v>
                </c:pt>
                <c:pt idx="14">
                  <c:v>33.272893141029812</c:v>
                </c:pt>
              </c:numCache>
            </c:numRef>
          </c:val>
          <c:extLst>
            <c:ext xmlns:c16="http://schemas.microsoft.com/office/drawing/2014/chart" uri="{C3380CC4-5D6E-409C-BE32-E72D297353CC}">
              <c16:uniqueId val="{00000001-E64D-D145-B10F-2A865C5BEE8A}"/>
            </c:ext>
          </c:extLst>
        </c:ser>
        <c:ser>
          <c:idx val="2"/>
          <c:order val="2"/>
          <c:tx>
            <c:strRef>
              <c:f>'Gene trees counts'!$H$1</c:f>
              <c:strCache>
                <c:ptCount val="1"/>
                <c:pt idx="0">
                  <c:v>Obs count</c:v>
                </c:pt>
              </c:strCache>
            </c:strRef>
          </c:tx>
          <c:spPr>
            <a:solidFill>
              <a:schemeClr val="accent3"/>
            </a:solidFill>
            <a:ln>
              <a:noFill/>
            </a:ln>
            <a:effectLst/>
          </c:spPr>
          <c:invertIfNegative val="0"/>
          <c:val>
            <c:numRef>
              <c:f>'Gene trees counts'!$H$2:$H$16</c:f>
              <c:numCache>
                <c:formatCode>General</c:formatCode>
                <c:ptCount val="15"/>
                <c:pt idx="0">
                  <c:v>589</c:v>
                </c:pt>
                <c:pt idx="1">
                  <c:v>119</c:v>
                </c:pt>
                <c:pt idx="2">
                  <c:v>129</c:v>
                </c:pt>
                <c:pt idx="3">
                  <c:v>1218</c:v>
                </c:pt>
                <c:pt idx="4">
                  <c:v>342</c:v>
                </c:pt>
                <c:pt idx="5">
                  <c:v>274</c:v>
                </c:pt>
                <c:pt idx="6">
                  <c:v>67</c:v>
                </c:pt>
                <c:pt idx="7">
                  <c:v>36</c:v>
                </c:pt>
                <c:pt idx="8">
                  <c:v>24</c:v>
                </c:pt>
                <c:pt idx="9">
                  <c:v>355</c:v>
                </c:pt>
                <c:pt idx="10">
                  <c:v>69</c:v>
                </c:pt>
                <c:pt idx="11">
                  <c:v>33</c:v>
                </c:pt>
                <c:pt idx="12">
                  <c:v>33</c:v>
                </c:pt>
                <c:pt idx="13">
                  <c:v>49</c:v>
                </c:pt>
                <c:pt idx="14">
                  <c:v>69</c:v>
                </c:pt>
              </c:numCache>
            </c:numRef>
          </c:val>
          <c:extLst>
            <c:ext xmlns:c16="http://schemas.microsoft.com/office/drawing/2014/chart" uri="{C3380CC4-5D6E-409C-BE32-E72D297353CC}">
              <c16:uniqueId val="{00000002-E64D-D145-B10F-2A865C5BEE8A}"/>
            </c:ext>
          </c:extLst>
        </c:ser>
        <c:dLbls>
          <c:showLegendKey val="0"/>
          <c:showVal val="0"/>
          <c:showCatName val="0"/>
          <c:showSerName val="0"/>
          <c:showPercent val="0"/>
          <c:showBubbleSize val="0"/>
        </c:dLbls>
        <c:gapWidth val="219"/>
        <c:overlap val="-27"/>
        <c:axId val="1110331983"/>
        <c:axId val="1110333615"/>
      </c:barChart>
      <c:catAx>
        <c:axId val="11103319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0333615"/>
        <c:crosses val="autoZero"/>
        <c:auto val="1"/>
        <c:lblAlgn val="ctr"/>
        <c:lblOffset val="100"/>
        <c:noMultiLvlLbl val="0"/>
      </c:catAx>
      <c:valAx>
        <c:axId val="11103336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0331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Expected and Observed</a:t>
            </a:r>
            <a:r>
              <a:rPr lang="en-US" baseline="0"/>
              <a:t> Gene Tree Frequencies (broken down by data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'Data type info'!$G$1</c:f>
              <c:strCache>
                <c:ptCount val="1"/>
                <c:pt idx="0">
                  <c:v>ALL exp prop</c:v>
                </c:pt>
              </c:strCache>
            </c:strRef>
          </c:tx>
          <c:spPr>
            <a:solidFill>
              <a:schemeClr val="accent1"/>
            </a:solidFill>
            <a:ln>
              <a:noFill/>
            </a:ln>
            <a:effectLst/>
          </c:spPr>
          <c:invertIfNegative val="0"/>
          <c:val>
            <c:numRef>
              <c:f>'Data type info'!$G$2:$G$16</c:f>
              <c:numCache>
                <c:formatCode>General</c:formatCode>
                <c:ptCount val="15"/>
                <c:pt idx="0">
                  <c:v>0.14307503360927101</c:v>
                </c:pt>
                <c:pt idx="1">
                  <c:v>4.5242044345037098E-2</c:v>
                </c:pt>
                <c:pt idx="2">
                  <c:v>4.5242044345037098E-2</c:v>
                </c:pt>
                <c:pt idx="3">
                  <c:v>0.36583060266556799</c:v>
                </c:pt>
                <c:pt idx="4">
                  <c:v>0.13685200522511101</c:v>
                </c:pt>
                <c:pt idx="5">
                  <c:v>7.4191033791629502E-2</c:v>
                </c:pt>
                <c:pt idx="6">
                  <c:v>3.9019015960876403E-2</c:v>
                </c:pt>
                <c:pt idx="7">
                  <c:v>6.2230283841607104E-3</c:v>
                </c:pt>
                <c:pt idx="8">
                  <c:v>6.2230283841607104E-3</c:v>
                </c:pt>
                <c:pt idx="9">
                  <c:v>7.4191033791629502E-2</c:v>
                </c:pt>
                <c:pt idx="10">
                  <c:v>3.9019015960876403E-2</c:v>
                </c:pt>
                <c:pt idx="11">
                  <c:v>6.2230283841607104E-3</c:v>
                </c:pt>
                <c:pt idx="12">
                  <c:v>6.2230283841607104E-3</c:v>
                </c:pt>
                <c:pt idx="13">
                  <c:v>6.2230283841607104E-3</c:v>
                </c:pt>
                <c:pt idx="14">
                  <c:v>6.2230283841607104E-3</c:v>
                </c:pt>
              </c:numCache>
            </c:numRef>
          </c:val>
          <c:extLst>
            <c:ext xmlns:c16="http://schemas.microsoft.com/office/drawing/2014/chart" uri="{C3380CC4-5D6E-409C-BE32-E72D297353CC}">
              <c16:uniqueId val="{00000000-9BA4-094A-A23D-DCE00B150893}"/>
            </c:ext>
          </c:extLst>
        </c:ser>
        <c:ser>
          <c:idx val="1"/>
          <c:order val="1"/>
          <c:tx>
            <c:strRef>
              <c:f>'Data type info'!$H$1</c:f>
              <c:strCache>
                <c:ptCount val="1"/>
                <c:pt idx="0">
                  <c:v>ALL obs prop</c:v>
                </c:pt>
              </c:strCache>
            </c:strRef>
          </c:tx>
          <c:spPr>
            <a:solidFill>
              <a:schemeClr val="accent2"/>
            </a:solidFill>
            <a:ln>
              <a:noFill/>
            </a:ln>
            <a:effectLst/>
          </c:spPr>
          <c:invertIfNegative val="0"/>
          <c:val>
            <c:numRef>
              <c:f>'Data type info'!$H$2:$H$16</c:f>
              <c:numCache>
                <c:formatCode>General</c:formatCode>
                <c:ptCount val="15"/>
                <c:pt idx="0">
                  <c:v>0.17293012331180271</c:v>
                </c:pt>
                <c:pt idx="1">
                  <c:v>3.4938344098649439E-2</c:v>
                </c:pt>
                <c:pt idx="2">
                  <c:v>3.7874339401056958E-2</c:v>
                </c:pt>
                <c:pt idx="3">
                  <c:v>0.35760422783323548</c:v>
                </c:pt>
                <c:pt idx="4">
                  <c:v>0.10041103934233706</c:v>
                </c:pt>
                <c:pt idx="5">
                  <c:v>8.0446271285965945E-2</c:v>
                </c:pt>
                <c:pt idx="6">
                  <c:v>1.9671168526130357E-2</c:v>
                </c:pt>
                <c:pt idx="7">
                  <c:v>1.0569583088667059E-2</c:v>
                </c:pt>
                <c:pt idx="8">
                  <c:v>7.046388725778039E-3</c:v>
                </c:pt>
                <c:pt idx="9">
                  <c:v>0.10422783323546682</c:v>
                </c:pt>
                <c:pt idx="10">
                  <c:v>2.0258367586611863E-2</c:v>
                </c:pt>
                <c:pt idx="11">
                  <c:v>9.6887844979448041E-3</c:v>
                </c:pt>
                <c:pt idx="12">
                  <c:v>9.6887844979448041E-3</c:v>
                </c:pt>
                <c:pt idx="13">
                  <c:v>1.4386376981796829E-2</c:v>
                </c:pt>
                <c:pt idx="14">
                  <c:v>2.0258367586611863E-2</c:v>
                </c:pt>
              </c:numCache>
            </c:numRef>
          </c:val>
          <c:extLst>
            <c:ext xmlns:c16="http://schemas.microsoft.com/office/drawing/2014/chart" uri="{C3380CC4-5D6E-409C-BE32-E72D297353CC}">
              <c16:uniqueId val="{00000001-9BA4-094A-A23D-DCE00B150893}"/>
            </c:ext>
          </c:extLst>
        </c:ser>
        <c:ser>
          <c:idx val="2"/>
          <c:order val="2"/>
          <c:tx>
            <c:strRef>
              <c:f>'Data type info'!$I$1</c:f>
              <c:strCache>
                <c:ptCount val="1"/>
                <c:pt idx="0">
                  <c:v>EXON obs prop</c:v>
                </c:pt>
              </c:strCache>
            </c:strRef>
          </c:tx>
          <c:spPr>
            <a:solidFill>
              <a:schemeClr val="accent3"/>
            </a:solidFill>
            <a:ln>
              <a:noFill/>
            </a:ln>
            <a:effectLst/>
          </c:spPr>
          <c:invertIfNegative val="0"/>
          <c:val>
            <c:numRef>
              <c:f>'Data type info'!$I$2:$I$16</c:f>
              <c:numCache>
                <c:formatCode>General</c:formatCode>
                <c:ptCount val="15"/>
                <c:pt idx="0">
                  <c:v>0.11764705882352941</c:v>
                </c:pt>
                <c:pt idx="1">
                  <c:v>3.9215686274509803E-2</c:v>
                </c:pt>
                <c:pt idx="2">
                  <c:v>3.9215686274509803E-2</c:v>
                </c:pt>
                <c:pt idx="3">
                  <c:v>0.27450980392156865</c:v>
                </c:pt>
                <c:pt idx="4">
                  <c:v>7.8431372549019607E-2</c:v>
                </c:pt>
                <c:pt idx="5">
                  <c:v>6.8627450980392163E-2</c:v>
                </c:pt>
                <c:pt idx="6">
                  <c:v>2.9411764705882353E-2</c:v>
                </c:pt>
                <c:pt idx="7">
                  <c:v>0</c:v>
                </c:pt>
                <c:pt idx="8">
                  <c:v>9.8039215686274508E-3</c:v>
                </c:pt>
                <c:pt idx="9">
                  <c:v>0.23529411764705882</c:v>
                </c:pt>
                <c:pt idx="10">
                  <c:v>2.9411764705882353E-2</c:v>
                </c:pt>
                <c:pt idx="11">
                  <c:v>9.8039215686274508E-3</c:v>
                </c:pt>
                <c:pt idx="12">
                  <c:v>9.8039215686274508E-3</c:v>
                </c:pt>
                <c:pt idx="13">
                  <c:v>9.8039215686274508E-3</c:v>
                </c:pt>
                <c:pt idx="14">
                  <c:v>4.9019607843137254E-2</c:v>
                </c:pt>
              </c:numCache>
            </c:numRef>
          </c:val>
          <c:extLst>
            <c:ext xmlns:c16="http://schemas.microsoft.com/office/drawing/2014/chart" uri="{C3380CC4-5D6E-409C-BE32-E72D297353CC}">
              <c16:uniqueId val="{00000002-9BA4-094A-A23D-DCE00B150893}"/>
            </c:ext>
          </c:extLst>
        </c:ser>
        <c:ser>
          <c:idx val="3"/>
          <c:order val="3"/>
          <c:tx>
            <c:strRef>
              <c:f>'Data type info'!$J$1</c:f>
              <c:strCache>
                <c:ptCount val="1"/>
                <c:pt idx="0">
                  <c:v>INTRON obs prop</c:v>
                </c:pt>
              </c:strCache>
            </c:strRef>
          </c:tx>
          <c:spPr>
            <a:solidFill>
              <a:schemeClr val="accent4"/>
            </a:solidFill>
            <a:ln>
              <a:noFill/>
            </a:ln>
            <a:effectLst/>
          </c:spPr>
          <c:invertIfNegative val="0"/>
          <c:val>
            <c:numRef>
              <c:f>'Data type info'!$J$2:$J$16</c:f>
              <c:numCache>
                <c:formatCode>General</c:formatCode>
                <c:ptCount val="15"/>
                <c:pt idx="0">
                  <c:v>0.18163985876814437</c:v>
                </c:pt>
                <c:pt idx="1">
                  <c:v>3.0207924676343666E-2</c:v>
                </c:pt>
                <c:pt idx="2">
                  <c:v>3.8054138877991368E-2</c:v>
                </c:pt>
                <c:pt idx="3">
                  <c:v>0.36641820321694785</c:v>
                </c:pt>
                <c:pt idx="4">
                  <c:v>0.1012161632012554</c:v>
                </c:pt>
                <c:pt idx="5">
                  <c:v>7.2969792075323656E-2</c:v>
                </c:pt>
                <c:pt idx="6">
                  <c:v>1.6084739113377794E-2</c:v>
                </c:pt>
                <c:pt idx="7">
                  <c:v>1.2553942722636328E-2</c:v>
                </c:pt>
                <c:pt idx="8">
                  <c:v>5.8846606512357787E-3</c:v>
                </c:pt>
                <c:pt idx="9">
                  <c:v>0.10239309533150255</c:v>
                </c:pt>
                <c:pt idx="10">
                  <c:v>1.8046292663789723E-2</c:v>
                </c:pt>
                <c:pt idx="11">
                  <c:v>9.8077677520596318E-3</c:v>
                </c:pt>
                <c:pt idx="12">
                  <c:v>9.8077677520596318E-3</c:v>
                </c:pt>
                <c:pt idx="13">
                  <c:v>1.5692428403295409E-2</c:v>
                </c:pt>
                <c:pt idx="14">
                  <c:v>1.9223224794036878E-2</c:v>
                </c:pt>
              </c:numCache>
            </c:numRef>
          </c:val>
          <c:extLst>
            <c:ext xmlns:c16="http://schemas.microsoft.com/office/drawing/2014/chart" uri="{C3380CC4-5D6E-409C-BE32-E72D297353CC}">
              <c16:uniqueId val="{00000003-9BA4-094A-A23D-DCE00B150893}"/>
            </c:ext>
          </c:extLst>
        </c:ser>
        <c:ser>
          <c:idx val="4"/>
          <c:order val="4"/>
          <c:tx>
            <c:strRef>
              <c:f>'Data type info'!$K$1</c:f>
              <c:strCache>
                <c:ptCount val="1"/>
                <c:pt idx="0">
                  <c:v>UCE obs prop</c:v>
                </c:pt>
              </c:strCache>
            </c:strRef>
          </c:tx>
          <c:spPr>
            <a:solidFill>
              <a:schemeClr val="accent5"/>
            </a:solidFill>
            <a:ln>
              <a:noFill/>
            </a:ln>
            <a:effectLst/>
          </c:spPr>
          <c:invertIfNegative val="0"/>
          <c:val>
            <c:numRef>
              <c:f>'Data type info'!$K$2:$K$16</c:f>
              <c:numCache>
                <c:formatCode>General</c:formatCode>
                <c:ptCount val="15"/>
                <c:pt idx="0">
                  <c:v>0.15178571428571427</c:v>
                </c:pt>
                <c:pt idx="1">
                  <c:v>4.9744897959183673E-2</c:v>
                </c:pt>
                <c:pt idx="2">
                  <c:v>3.9540816326530615E-2</c:v>
                </c:pt>
                <c:pt idx="3">
                  <c:v>0.33545918367346939</c:v>
                </c:pt>
                <c:pt idx="4">
                  <c:v>9.9489795918367346E-2</c:v>
                </c:pt>
                <c:pt idx="5">
                  <c:v>0.10586734693877552</c:v>
                </c:pt>
                <c:pt idx="6">
                  <c:v>2.9336734693877552E-2</c:v>
                </c:pt>
                <c:pt idx="7">
                  <c:v>5.1020408163265302E-3</c:v>
                </c:pt>
                <c:pt idx="8">
                  <c:v>1.020408163265306E-2</c:v>
                </c:pt>
                <c:pt idx="9">
                  <c:v>9.8214285714285712E-2</c:v>
                </c:pt>
                <c:pt idx="10">
                  <c:v>2.5510204081632654E-2</c:v>
                </c:pt>
                <c:pt idx="11">
                  <c:v>1.020408163265306E-2</c:v>
                </c:pt>
                <c:pt idx="12">
                  <c:v>8.9285714285714281E-3</c:v>
                </c:pt>
                <c:pt idx="13">
                  <c:v>1.1479591836734694E-2</c:v>
                </c:pt>
                <c:pt idx="14">
                  <c:v>1.913265306122449E-2</c:v>
                </c:pt>
              </c:numCache>
            </c:numRef>
          </c:val>
          <c:extLst>
            <c:ext xmlns:c16="http://schemas.microsoft.com/office/drawing/2014/chart" uri="{C3380CC4-5D6E-409C-BE32-E72D297353CC}">
              <c16:uniqueId val="{00000004-9BA4-094A-A23D-DCE00B150893}"/>
            </c:ext>
          </c:extLst>
        </c:ser>
        <c:dLbls>
          <c:showLegendKey val="0"/>
          <c:showVal val="0"/>
          <c:showCatName val="0"/>
          <c:showSerName val="0"/>
          <c:showPercent val="0"/>
          <c:showBubbleSize val="0"/>
        </c:dLbls>
        <c:gapWidth val="219"/>
        <c:overlap val="-27"/>
        <c:axId val="1251878623"/>
        <c:axId val="1251880255"/>
      </c:barChart>
      <c:catAx>
        <c:axId val="125187862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880255"/>
        <c:crosses val="autoZero"/>
        <c:auto val="1"/>
        <c:lblAlgn val="ctr"/>
        <c:lblOffset val="100"/>
        <c:noMultiLvlLbl val="0"/>
      </c:catAx>
      <c:valAx>
        <c:axId val="125188025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878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269240</xdr:colOff>
      <xdr:row>18</xdr:row>
      <xdr:rowOff>71120</xdr:rowOff>
    </xdr:from>
    <xdr:to>
      <xdr:col>6</xdr:col>
      <xdr:colOff>650240</xdr:colOff>
      <xdr:row>42</xdr:row>
      <xdr:rowOff>40640</xdr:rowOff>
    </xdr:to>
    <xdr:graphicFrame macro="">
      <xdr:nvGraphicFramePr>
        <xdr:cNvPr id="4" name="Chart 3">
          <a:extLst>
            <a:ext uri="{FF2B5EF4-FFF2-40B4-BE49-F238E27FC236}">
              <a16:creationId xmlns:a16="http://schemas.microsoft.com/office/drawing/2014/main" id="{9D90F413-3728-8B47-8D90-9E298AC648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19</xdr:row>
      <xdr:rowOff>81280</xdr:rowOff>
    </xdr:from>
    <xdr:to>
      <xdr:col>12</xdr:col>
      <xdr:colOff>60960</xdr:colOff>
      <xdr:row>31</xdr:row>
      <xdr:rowOff>101600</xdr:rowOff>
    </xdr:to>
    <xdr:sp macro="" textlink="">
      <xdr:nvSpPr>
        <xdr:cNvPr id="5" name="TextBox 4">
          <a:extLst>
            <a:ext uri="{FF2B5EF4-FFF2-40B4-BE49-F238E27FC236}">
              <a16:creationId xmlns:a16="http://schemas.microsoft.com/office/drawing/2014/main" id="{04AF1A9D-A52F-0840-8A2B-97BB3832BA61}"/>
            </a:ext>
          </a:extLst>
        </xdr:cNvPr>
        <xdr:cNvSpPr txBox="1"/>
      </xdr:nvSpPr>
      <xdr:spPr>
        <a:xfrm>
          <a:off x="8534400" y="3942080"/>
          <a:ext cx="4521200" cy="2458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README:</a:t>
          </a:r>
        </a:p>
        <a:p>
          <a:endParaRPr lang="en-US" sz="1100"/>
        </a:p>
        <a:p>
          <a:r>
            <a:rPr lang="en-US" sz="1100"/>
            <a:t>-- THIS</a:t>
          </a:r>
          <a:r>
            <a:rPr lang="en-US" sz="1100" baseline="0"/>
            <a:t> SHEET (Gene tree counts):</a:t>
          </a:r>
          <a:endParaRPr lang="en-US" sz="1100"/>
        </a:p>
        <a:p>
          <a:r>
            <a:rPr lang="en-US" sz="1100"/>
            <a:t>The graph</a:t>
          </a:r>
          <a:r>
            <a:rPr lang="en-US" sz="1100" baseline="0"/>
            <a:t> presents the expected counts of gene trees given the coalescent branch lengths in the ASTRAL trees (GT = ASTRAL tree based on gene trees; TV = ASTRAL tree based on perfect transversions). The observed counts are presented for comparison. A chi-square test of fit to the GT counts is also presented.</a:t>
          </a:r>
        </a:p>
        <a:p>
          <a:endParaRPr lang="en-US" sz="1100" baseline="0"/>
        </a:p>
        <a:p>
          <a:r>
            <a:rPr lang="en-US" sz="1100"/>
            <a:t>-- OTHER</a:t>
          </a:r>
          <a:r>
            <a:rPr lang="en-US" sz="1100" baseline="0"/>
            <a:t> SHEET (Data type info):</a:t>
          </a:r>
          <a:endParaRPr lang="en-US" sz="1100"/>
        </a:p>
        <a:p>
          <a:r>
            <a:rPr lang="en-US" sz="1100"/>
            <a:t>The graph</a:t>
          </a:r>
          <a:r>
            <a:rPr lang="en-US" sz="1100" baseline="0"/>
            <a:t> presents the expected frequencies of each gene tree topology given the GT ASTRAL tree and the observed frequencies of each gene tree after subdividing trees by their source (exon, intron, or UCE).</a:t>
          </a:r>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228381</xdr:colOff>
      <xdr:row>18</xdr:row>
      <xdr:rowOff>204733</xdr:rowOff>
    </xdr:from>
    <xdr:to>
      <xdr:col>7</xdr:col>
      <xdr:colOff>379249</xdr:colOff>
      <xdr:row>41</xdr:row>
      <xdr:rowOff>15765</xdr:rowOff>
    </xdr:to>
    <xdr:graphicFrame macro="">
      <xdr:nvGraphicFramePr>
        <xdr:cNvPr id="2" name="Chart 1">
          <a:extLst>
            <a:ext uri="{FF2B5EF4-FFF2-40B4-BE49-F238E27FC236}">
              <a16:creationId xmlns:a16="http://schemas.microsoft.com/office/drawing/2014/main" id="{2AC13F3E-7197-2542-9431-4FCB3EEDBF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996293</xdr:colOff>
      <xdr:row>18</xdr:row>
      <xdr:rowOff>197069</xdr:rowOff>
    </xdr:from>
    <xdr:to>
      <xdr:col>12</xdr:col>
      <xdr:colOff>207579</xdr:colOff>
      <xdr:row>40</xdr:row>
      <xdr:rowOff>76638</xdr:rowOff>
    </xdr:to>
    <xdr:sp macro="" textlink="">
      <xdr:nvSpPr>
        <xdr:cNvPr id="4" name="TextBox 3">
          <a:extLst>
            <a:ext uri="{FF2B5EF4-FFF2-40B4-BE49-F238E27FC236}">
              <a16:creationId xmlns:a16="http://schemas.microsoft.com/office/drawing/2014/main" id="{7D827B1A-DB89-9F49-BA7A-F8E336B558A0}"/>
            </a:ext>
          </a:extLst>
        </xdr:cNvPr>
        <xdr:cNvSpPr txBox="1"/>
      </xdr:nvSpPr>
      <xdr:spPr>
        <a:xfrm>
          <a:off x="9535948" y="3941379"/>
          <a:ext cx="4521200" cy="4455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README:</a:t>
          </a:r>
        </a:p>
        <a:p>
          <a:endParaRPr lang="en-US" sz="1100"/>
        </a:p>
        <a:p>
          <a:r>
            <a:rPr lang="en-US" sz="1100"/>
            <a:t>-- OTHER</a:t>
          </a:r>
          <a:r>
            <a:rPr lang="en-US" sz="1100" baseline="0"/>
            <a:t> SHEET (Gene tree counts):</a:t>
          </a:r>
          <a:endParaRPr lang="en-US" sz="1100"/>
        </a:p>
        <a:p>
          <a:r>
            <a:rPr lang="en-US" sz="1100"/>
            <a:t>The graph</a:t>
          </a:r>
          <a:r>
            <a:rPr lang="en-US" sz="1100" baseline="0"/>
            <a:t> presents the expected counts of gene trees given the coalescent branch lengths in the ASTRAL trees (GT = ASTRAL tree based on gene trees; TV = ASTRAL tree based on perfect transversions). The observed counts are presented for comparison. A chi-square test of fit to the GT counts is also presented.</a:t>
          </a:r>
        </a:p>
        <a:p>
          <a:endParaRPr lang="en-US" sz="1100" baseline="0"/>
        </a:p>
        <a:p>
          <a:r>
            <a:rPr lang="en-US" sz="1100"/>
            <a:t>-- THIS</a:t>
          </a:r>
          <a:r>
            <a:rPr lang="en-US" sz="1100" baseline="0"/>
            <a:t> SHEET (Data type info):</a:t>
          </a:r>
          <a:endParaRPr lang="en-US" sz="1100"/>
        </a:p>
        <a:p>
          <a:r>
            <a:rPr lang="en-US" sz="1100"/>
            <a:t>The graph</a:t>
          </a:r>
          <a:r>
            <a:rPr lang="en-US" sz="1100" baseline="0"/>
            <a:t> presents the expected frequencies of each gene tree topology given the GT ASTRAL tree and the observed frequencies of each gene tree after subdividing trees by their source (exon, intron, or UCE).</a:t>
          </a:r>
        </a:p>
        <a:p>
          <a:endParaRPr lang="en-US" sz="1100" baseline="0"/>
        </a:p>
        <a:p>
          <a:r>
            <a:rPr lang="en-US" sz="1100" baseline="0"/>
            <a:t>NOTE: the small expedted number of trees in some cells for exonic gene trees (column O) can be problematic for the chi-square test. This led us to conduct a second test where the rare gene trees were lumped into two groups (rare symmetrical gene trees -- trees 2 and 3 -- and rare aymmetrical gene trees -- trees 7, 8, 9, 11, 12, 13, 14, and 15). With these categories grouped, all cells have an expectation &gt; 5.  This can then be used as a test of homogeneity using a 7x3 contingency table (see columns AA through AG). The test still results in a significant </a:t>
          </a:r>
          <a:r>
            <a:rPr lang="en-US" sz="1100" i="1" baseline="0"/>
            <a:t>P</a:t>
          </a:r>
          <a:r>
            <a:rPr lang="en-US" sz="1100" i="0" baseline="0"/>
            <a:t>-values (the </a:t>
          </a:r>
          <a:r>
            <a:rPr lang="en-US" sz="1100" i="1" baseline="0"/>
            <a:t>P</a:t>
          </a:r>
          <a:r>
            <a:rPr lang="en-US" sz="1100" i="0" baseline="0"/>
            <a:t>-value is actually lower when calculated this way, compare cells X19 and AF19). In the manuscript we reported the conceptually simpler test that used a 15x3 contingency table.</a:t>
          </a:r>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6BB0-8D80-474E-9A9E-3942D9847429}">
  <dimension ref="A1:L19"/>
  <sheetViews>
    <sheetView tabSelected="1" zoomScale="125" zoomScaleNormal="125" workbookViewId="0">
      <selection activeCell="N1" sqref="N1:N1048576"/>
    </sheetView>
  </sheetViews>
  <sheetFormatPr baseColWidth="10" defaultRowHeight="16" x14ac:dyDescent="0.2"/>
  <cols>
    <col min="1" max="2" width="10.83203125" style="1"/>
    <col min="3" max="3" width="31.6640625" style="1" customWidth="1"/>
    <col min="4" max="7" width="14.6640625" style="1" customWidth="1"/>
    <col min="8" max="8" width="13.83203125" style="1" customWidth="1"/>
    <col min="9" max="9" width="14" style="1" customWidth="1"/>
    <col min="10" max="10" width="3.6640625" customWidth="1"/>
    <col min="11" max="11" width="14.5" style="1" customWidth="1"/>
    <col min="12" max="12" width="12.33203125" style="1" customWidth="1"/>
  </cols>
  <sheetData>
    <row r="1" spans="1:12" x14ac:dyDescent="0.2">
      <c r="A1" s="2" t="s">
        <v>29</v>
      </c>
      <c r="B1" s="2" t="s">
        <v>28</v>
      </c>
      <c r="C1" s="2" t="s">
        <v>27</v>
      </c>
      <c r="D1" s="2" t="s">
        <v>44</v>
      </c>
      <c r="E1" s="2" t="s">
        <v>46</v>
      </c>
      <c r="F1" s="2" t="s">
        <v>45</v>
      </c>
      <c r="G1" s="2" t="s">
        <v>47</v>
      </c>
      <c r="H1" s="2" t="s">
        <v>30</v>
      </c>
      <c r="I1" s="2" t="s">
        <v>31</v>
      </c>
      <c r="K1" s="2" t="s">
        <v>48</v>
      </c>
      <c r="L1" s="2" t="s">
        <v>49</v>
      </c>
    </row>
    <row r="2" spans="1:12" x14ac:dyDescent="0.2">
      <c r="A2" s="1">
        <v>1</v>
      </c>
      <c r="B2" s="1" t="s">
        <v>0</v>
      </c>
      <c r="C2" s="1" t="s">
        <v>32</v>
      </c>
      <c r="D2" s="1">
        <v>0.14307503360927101</v>
      </c>
      <c r="E2" s="1">
        <v>0.13942904588484101</v>
      </c>
      <c r="F2" s="1">
        <f t="shared" ref="F2:F16" si="0">D2*3406</f>
        <v>487.31356447317705</v>
      </c>
      <c r="G2" s="1">
        <f t="shared" ref="G2:G16" si="1">E2*3406</f>
        <v>474.89533028376849</v>
      </c>
      <c r="H2" s="1">
        <v>589</v>
      </c>
      <c r="I2" s="1">
        <f>H2/3406</f>
        <v>0.17293012331180271</v>
      </c>
      <c r="K2" s="1">
        <f>H2-F2</f>
        <v>101.68643552682295</v>
      </c>
      <c r="L2" s="1">
        <f>(K2*K2)/F2</f>
        <v>21.218640161041254</v>
      </c>
    </row>
    <row r="3" spans="1:12" x14ac:dyDescent="0.2">
      <c r="A3" s="1">
        <v>2</v>
      </c>
      <c r="B3" s="1" t="s">
        <v>1</v>
      </c>
      <c r="C3" s="1" t="s">
        <v>33</v>
      </c>
      <c r="D3" s="1">
        <v>4.5242044345037098E-2</v>
      </c>
      <c r="E3" s="1">
        <v>5.8859490104744901E-2</v>
      </c>
      <c r="F3" s="1">
        <f t="shared" si="0"/>
        <v>154.09440303919635</v>
      </c>
      <c r="G3" s="1">
        <f t="shared" si="1"/>
        <v>200.47542329676114</v>
      </c>
      <c r="H3" s="1">
        <v>119</v>
      </c>
      <c r="I3" s="1">
        <f t="shared" ref="I3:I16" si="2">H3/3406</f>
        <v>3.4938344098649439E-2</v>
      </c>
      <c r="K3" s="1">
        <f t="shared" ref="K3:K16" si="3">H3-F3</f>
        <v>-35.094403039196351</v>
      </c>
      <c r="L3" s="1">
        <f t="shared" ref="L3:L16" si="4">(K3*K3)/F3</f>
        <v>7.9926142701255207</v>
      </c>
    </row>
    <row r="4" spans="1:12" x14ac:dyDescent="0.2">
      <c r="A4" s="1">
        <v>3</v>
      </c>
      <c r="B4" s="1" t="s">
        <v>2</v>
      </c>
      <c r="C4" s="1" t="s">
        <v>43</v>
      </c>
      <c r="D4" s="1">
        <v>4.5242044345037098E-2</v>
      </c>
      <c r="E4" s="1">
        <v>5.8859490104744901E-2</v>
      </c>
      <c r="F4" s="1">
        <f t="shared" si="0"/>
        <v>154.09440303919635</v>
      </c>
      <c r="G4" s="1">
        <f t="shared" si="1"/>
        <v>200.47542329676114</v>
      </c>
      <c r="H4" s="1">
        <v>129</v>
      </c>
      <c r="I4" s="1">
        <f t="shared" si="2"/>
        <v>3.7874339401056958E-2</v>
      </c>
      <c r="K4" s="1">
        <f t="shared" si="3"/>
        <v>-25.094403039196351</v>
      </c>
      <c r="L4" s="1">
        <f t="shared" si="4"/>
        <v>4.08664462481123</v>
      </c>
    </row>
    <row r="5" spans="1:12" x14ac:dyDescent="0.2">
      <c r="A5" s="1">
        <v>4</v>
      </c>
      <c r="B5" s="1" t="s">
        <v>3</v>
      </c>
      <c r="C5" s="1" t="s">
        <v>4</v>
      </c>
      <c r="D5" s="1">
        <v>0.36583060266556799</v>
      </c>
      <c r="E5" s="1">
        <v>0.291292838195432</v>
      </c>
      <c r="F5" s="1">
        <f t="shared" si="0"/>
        <v>1246.0190326789245</v>
      </c>
      <c r="G5" s="1">
        <f t="shared" si="1"/>
        <v>992.14340689364144</v>
      </c>
      <c r="H5" s="1">
        <v>1218</v>
      </c>
      <c r="I5" s="1">
        <f t="shared" si="2"/>
        <v>0.35760422783323548</v>
      </c>
      <c r="K5" s="1">
        <f t="shared" si="3"/>
        <v>-28.019032678924532</v>
      </c>
      <c r="L5" s="1">
        <f t="shared" si="4"/>
        <v>0.6300595509963911</v>
      </c>
    </row>
    <row r="6" spans="1:12" x14ac:dyDescent="0.2">
      <c r="A6" s="1">
        <v>5</v>
      </c>
      <c r="B6" s="1" t="s">
        <v>5</v>
      </c>
      <c r="C6" s="1" t="s">
        <v>6</v>
      </c>
      <c r="D6" s="1">
        <v>0.13685200522511101</v>
      </c>
      <c r="E6" s="1">
        <v>0.12966014008888399</v>
      </c>
      <c r="F6" s="1">
        <f t="shared" si="0"/>
        <v>466.11792979672811</v>
      </c>
      <c r="G6" s="1">
        <f t="shared" si="1"/>
        <v>441.62243714273887</v>
      </c>
      <c r="H6" s="1">
        <v>342</v>
      </c>
      <c r="I6" s="1">
        <f t="shared" si="2"/>
        <v>0.10041103934233706</v>
      </c>
      <c r="K6" s="1">
        <f t="shared" si="3"/>
        <v>-124.11792979672811</v>
      </c>
      <c r="L6" s="1">
        <f t="shared" si="4"/>
        <v>33.050134981384844</v>
      </c>
    </row>
    <row r="7" spans="1:12" x14ac:dyDescent="0.2">
      <c r="A7" s="1">
        <v>6</v>
      </c>
      <c r="B7" s="1" t="s">
        <v>7</v>
      </c>
      <c r="C7" s="1" t="s">
        <v>8</v>
      </c>
      <c r="D7" s="1">
        <v>7.4191033791629502E-2</v>
      </c>
      <c r="E7" s="1">
        <v>8.2552196114017401E-2</v>
      </c>
      <c r="F7" s="1">
        <f t="shared" si="0"/>
        <v>252.69466109429007</v>
      </c>
      <c r="G7" s="1">
        <f t="shared" si="1"/>
        <v>281.17277996434325</v>
      </c>
      <c r="H7" s="1">
        <v>274</v>
      </c>
      <c r="I7" s="1">
        <f t="shared" si="2"/>
        <v>8.0446271285965945E-2</v>
      </c>
      <c r="K7" s="1">
        <f t="shared" si="3"/>
        <v>21.305338905709931</v>
      </c>
      <c r="L7" s="1">
        <f t="shared" si="4"/>
        <v>1.7963080973752081</v>
      </c>
    </row>
    <row r="8" spans="1:12" x14ac:dyDescent="0.2">
      <c r="A8" s="1">
        <v>7</v>
      </c>
      <c r="B8" s="1" t="s">
        <v>9</v>
      </c>
      <c r="C8" s="1" t="s">
        <v>10</v>
      </c>
      <c r="D8" s="1">
        <v>3.9019015960876403E-2</v>
      </c>
      <c r="E8" s="1">
        <v>4.90905843087878E-2</v>
      </c>
      <c r="F8" s="1">
        <f t="shared" si="0"/>
        <v>132.89876836274502</v>
      </c>
      <c r="G8" s="1">
        <f t="shared" si="1"/>
        <v>167.20253015573124</v>
      </c>
      <c r="H8" s="1">
        <v>67</v>
      </c>
      <c r="I8" s="1">
        <f t="shared" si="2"/>
        <v>1.9671168526130357E-2</v>
      </c>
      <c r="K8" s="1">
        <f t="shared" si="3"/>
        <v>-65.898768362745017</v>
      </c>
      <c r="L8" s="1">
        <f t="shared" si="4"/>
        <v>32.676357540602162</v>
      </c>
    </row>
    <row r="9" spans="1:12" x14ac:dyDescent="0.2">
      <c r="A9" s="1">
        <v>8</v>
      </c>
      <c r="B9" s="1" t="s">
        <v>11</v>
      </c>
      <c r="C9" s="1" t="s">
        <v>12</v>
      </c>
      <c r="D9" s="1">
        <v>6.2230283841607104E-3</v>
      </c>
      <c r="E9" s="1">
        <v>9.7689057959570794E-3</v>
      </c>
      <c r="F9" s="1">
        <f t="shared" si="0"/>
        <v>21.19563467645138</v>
      </c>
      <c r="G9" s="1">
        <f t="shared" si="1"/>
        <v>33.272893141029812</v>
      </c>
      <c r="H9" s="1">
        <v>36</v>
      </c>
      <c r="I9" s="1">
        <f t="shared" si="2"/>
        <v>1.0569583088667059E-2</v>
      </c>
      <c r="K9" s="1">
        <f t="shared" si="3"/>
        <v>14.80436532354862</v>
      </c>
      <c r="L9" s="1">
        <f t="shared" si="4"/>
        <v>10.34030053728887</v>
      </c>
    </row>
    <row r="10" spans="1:12" x14ac:dyDescent="0.2">
      <c r="A10" s="1">
        <v>9</v>
      </c>
      <c r="B10" s="1" t="s">
        <v>13</v>
      </c>
      <c r="C10" s="1" t="s">
        <v>14</v>
      </c>
      <c r="D10" s="1">
        <v>6.2230283841607104E-3</v>
      </c>
      <c r="E10" s="1">
        <v>9.7689057959570794E-3</v>
      </c>
      <c r="F10" s="1">
        <f t="shared" si="0"/>
        <v>21.19563467645138</v>
      </c>
      <c r="G10" s="1">
        <f t="shared" si="1"/>
        <v>33.272893141029812</v>
      </c>
      <c r="H10" s="1">
        <v>24</v>
      </c>
      <c r="I10" s="1">
        <f t="shared" si="2"/>
        <v>7.046388725778039E-3</v>
      </c>
      <c r="K10" s="1">
        <f t="shared" si="3"/>
        <v>2.8043653235486197</v>
      </c>
      <c r="L10" s="1">
        <f t="shared" si="4"/>
        <v>0.37104172571248717</v>
      </c>
    </row>
    <row r="11" spans="1:12" x14ac:dyDescent="0.2">
      <c r="A11" s="1">
        <v>10</v>
      </c>
      <c r="B11" s="1" t="s">
        <v>15</v>
      </c>
      <c r="C11" s="1" t="s">
        <v>16</v>
      </c>
      <c r="D11" s="1">
        <v>7.4191033791629502E-2</v>
      </c>
      <c r="E11" s="1">
        <v>8.2552196114017401E-2</v>
      </c>
      <c r="F11" s="1">
        <f t="shared" si="0"/>
        <v>252.69466109429007</v>
      </c>
      <c r="G11" s="1">
        <f t="shared" si="1"/>
        <v>281.17277996434325</v>
      </c>
      <c r="H11" s="1">
        <v>355</v>
      </c>
      <c r="I11" s="1">
        <f t="shared" si="2"/>
        <v>0.10422783323546682</v>
      </c>
      <c r="K11" s="1">
        <f t="shared" si="3"/>
        <v>102.30533890570993</v>
      </c>
      <c r="L11" s="1">
        <f t="shared" si="4"/>
        <v>41.419087856022244</v>
      </c>
    </row>
    <row r="12" spans="1:12" x14ac:dyDescent="0.2">
      <c r="A12" s="1">
        <v>11</v>
      </c>
      <c r="B12" s="1" t="s">
        <v>17</v>
      </c>
      <c r="C12" s="1" t="s">
        <v>18</v>
      </c>
      <c r="D12" s="1">
        <v>3.9019015960876403E-2</v>
      </c>
      <c r="E12" s="1">
        <v>4.90905843087878E-2</v>
      </c>
      <c r="F12" s="1">
        <f t="shared" si="0"/>
        <v>132.89876836274502</v>
      </c>
      <c r="G12" s="1">
        <f t="shared" si="1"/>
        <v>167.20253015573124</v>
      </c>
      <c r="H12" s="1">
        <v>69</v>
      </c>
      <c r="I12" s="1">
        <f t="shared" si="2"/>
        <v>2.0258367586611863E-2</v>
      </c>
      <c r="K12" s="1">
        <f t="shared" si="3"/>
        <v>-63.898768362745017</v>
      </c>
      <c r="L12" s="1">
        <f t="shared" si="4"/>
        <v>30.7230281256717</v>
      </c>
    </row>
    <row r="13" spans="1:12" x14ac:dyDescent="0.2">
      <c r="A13" s="1">
        <v>12</v>
      </c>
      <c r="B13" s="1" t="s">
        <v>19</v>
      </c>
      <c r="C13" s="1" t="s">
        <v>20</v>
      </c>
      <c r="D13" s="1">
        <v>6.2230283841607104E-3</v>
      </c>
      <c r="E13" s="1">
        <v>9.7689057959570794E-3</v>
      </c>
      <c r="F13" s="1">
        <f t="shared" si="0"/>
        <v>21.19563467645138</v>
      </c>
      <c r="G13" s="1">
        <f t="shared" si="1"/>
        <v>33.272893141029812</v>
      </c>
      <c r="H13" s="1">
        <v>33</v>
      </c>
      <c r="I13" s="1">
        <f t="shared" si="2"/>
        <v>9.6887844979448041E-3</v>
      </c>
      <c r="K13" s="1">
        <f t="shared" si="3"/>
        <v>11.80436532354862</v>
      </c>
      <c r="L13" s="1">
        <f t="shared" si="4"/>
        <v>6.5741386289606609</v>
      </c>
    </row>
    <row r="14" spans="1:12" x14ac:dyDescent="0.2">
      <c r="A14" s="1">
        <v>13</v>
      </c>
      <c r="B14" s="1" t="s">
        <v>21</v>
      </c>
      <c r="C14" s="1" t="s">
        <v>22</v>
      </c>
      <c r="D14" s="1">
        <v>6.2230283841607104E-3</v>
      </c>
      <c r="E14" s="1">
        <v>9.7689057959570794E-3</v>
      </c>
      <c r="F14" s="1">
        <f t="shared" si="0"/>
        <v>21.19563467645138</v>
      </c>
      <c r="G14" s="1">
        <f t="shared" si="1"/>
        <v>33.272893141029812</v>
      </c>
      <c r="H14" s="1">
        <v>33</v>
      </c>
      <c r="I14" s="1">
        <f t="shared" si="2"/>
        <v>9.6887844979448041E-3</v>
      </c>
      <c r="K14" s="1">
        <f t="shared" si="3"/>
        <v>11.80436532354862</v>
      </c>
      <c r="L14" s="1">
        <f t="shared" si="4"/>
        <v>6.5741386289606609</v>
      </c>
    </row>
    <row r="15" spans="1:12" x14ac:dyDescent="0.2">
      <c r="A15" s="1">
        <v>14</v>
      </c>
      <c r="B15" s="1" t="s">
        <v>23</v>
      </c>
      <c r="C15" s="1" t="s">
        <v>24</v>
      </c>
      <c r="D15" s="1">
        <v>6.2230283841607104E-3</v>
      </c>
      <c r="E15" s="1">
        <v>9.7689057959570794E-3</v>
      </c>
      <c r="F15" s="1">
        <f t="shared" si="0"/>
        <v>21.19563467645138</v>
      </c>
      <c r="G15" s="1">
        <f t="shared" si="1"/>
        <v>33.272893141029812</v>
      </c>
      <c r="H15" s="1">
        <v>49</v>
      </c>
      <c r="I15" s="1">
        <f t="shared" si="2"/>
        <v>1.4386376981796829E-2</v>
      </c>
      <c r="K15" s="1">
        <f t="shared" si="3"/>
        <v>27.80436532354862</v>
      </c>
      <c r="L15" s="1">
        <f t="shared" si="4"/>
        <v>36.47367690783318</v>
      </c>
    </row>
    <row r="16" spans="1:12" x14ac:dyDescent="0.2">
      <c r="A16" s="1">
        <v>15</v>
      </c>
      <c r="B16" s="1" t="s">
        <v>25</v>
      </c>
      <c r="C16" s="1" t="s">
        <v>26</v>
      </c>
      <c r="D16" s="1">
        <v>6.2230283841607104E-3</v>
      </c>
      <c r="E16" s="1">
        <v>9.7689057959570794E-3</v>
      </c>
      <c r="F16" s="1">
        <f t="shared" si="0"/>
        <v>21.19563467645138</v>
      </c>
      <c r="G16" s="1">
        <f t="shared" si="1"/>
        <v>33.272893141029812</v>
      </c>
      <c r="H16" s="1">
        <v>69</v>
      </c>
      <c r="I16" s="1">
        <f t="shared" si="2"/>
        <v>2.0258367586611863E-2</v>
      </c>
      <c r="K16" s="1">
        <f t="shared" si="3"/>
        <v>47.804365323548623</v>
      </c>
      <c r="L16" s="1">
        <f t="shared" si="4"/>
        <v>107.81735856800023</v>
      </c>
    </row>
    <row r="18" spans="7:12" x14ac:dyDescent="0.2">
      <c r="G18" s="1" t="s">
        <v>34</v>
      </c>
      <c r="H18" s="1">
        <f>SUM(H2:H16)</f>
        <v>3406</v>
      </c>
      <c r="K18" s="1" t="s">
        <v>50</v>
      </c>
      <c r="L18" s="1">
        <f>SUM(L2:L16)</f>
        <v>341.74353020478668</v>
      </c>
    </row>
    <row r="19" spans="7:12" x14ac:dyDescent="0.2">
      <c r="K19" s="1" t="s">
        <v>51</v>
      </c>
      <c r="L19" s="1">
        <f>CHIDIST(L18,14)</f>
        <v>2.2154093822210518E-64</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3E57B-1D7B-FB45-82FC-913CC7E9431C}">
  <dimension ref="A1:AG19"/>
  <sheetViews>
    <sheetView zoomScale="116" workbookViewId="0">
      <selection activeCell="AF20" sqref="AF20"/>
    </sheetView>
  </sheetViews>
  <sheetFormatPr baseColWidth="10" defaultRowHeight="16" x14ac:dyDescent="0.2"/>
  <cols>
    <col min="3" max="3" width="33.1640625" customWidth="1"/>
    <col min="4" max="4" width="14" style="1" customWidth="1"/>
    <col min="5" max="5" width="14.5" style="1" customWidth="1"/>
    <col min="7" max="7" width="18.1640625" customWidth="1"/>
    <col min="8" max="9" width="16.33203125" style="1" customWidth="1"/>
    <col min="10" max="10" width="16.5" style="1" customWidth="1"/>
    <col min="11" max="11" width="16.33203125" style="1" customWidth="1"/>
    <col min="12" max="12" width="4" customWidth="1"/>
    <col min="13" max="13" width="10.83203125" style="1"/>
    <col min="14" max="14" width="3.33203125" customWidth="1"/>
    <col min="15" max="15" width="10.83203125" style="1"/>
    <col min="16" max="16" width="11.6640625" style="1" customWidth="1"/>
    <col min="17" max="17" width="10.83203125" style="1"/>
    <col min="20" max="20" width="11.83203125" customWidth="1"/>
    <col min="23" max="23" width="14.6640625" style="1" customWidth="1"/>
    <col min="24" max="24" width="15.5" style="1" customWidth="1"/>
    <col min="25" max="25" width="13.6640625" style="1" customWidth="1"/>
    <col min="27" max="27" width="10.83203125" style="1"/>
    <col min="28" max="28" width="13" style="1" customWidth="1"/>
    <col min="29" max="30" width="10.83203125" style="1"/>
    <col min="31" max="31" width="13.5" style="1" customWidth="1"/>
    <col min="32" max="32" width="15.5" style="1" customWidth="1"/>
    <col min="33" max="33" width="14.5" style="1" customWidth="1"/>
  </cols>
  <sheetData>
    <row r="1" spans="1:33" x14ac:dyDescent="0.2">
      <c r="A1" s="2" t="s">
        <v>29</v>
      </c>
      <c r="B1" s="2" t="s">
        <v>28</v>
      </c>
      <c r="C1" s="2" t="s">
        <v>27</v>
      </c>
      <c r="D1" s="2" t="s">
        <v>35</v>
      </c>
      <c r="E1" s="2" t="s">
        <v>36</v>
      </c>
      <c r="F1" s="2" t="s">
        <v>37</v>
      </c>
      <c r="G1" s="2" t="s">
        <v>38</v>
      </c>
      <c r="H1" s="2" t="s">
        <v>39</v>
      </c>
      <c r="I1" s="2" t="s">
        <v>40</v>
      </c>
      <c r="J1" s="2" t="s">
        <v>41</v>
      </c>
      <c r="K1" s="2" t="s">
        <v>42</v>
      </c>
      <c r="M1" s="2" t="s">
        <v>56</v>
      </c>
      <c r="O1" s="2" t="s">
        <v>57</v>
      </c>
      <c r="P1" s="2" t="s">
        <v>58</v>
      </c>
      <c r="Q1" s="2" t="s">
        <v>59</v>
      </c>
      <c r="S1" s="2" t="s">
        <v>60</v>
      </c>
      <c r="T1" s="2" t="s">
        <v>61</v>
      </c>
      <c r="U1" s="2" t="s">
        <v>54</v>
      </c>
      <c r="W1" s="2" t="s">
        <v>52</v>
      </c>
      <c r="X1" s="2" t="s">
        <v>53</v>
      </c>
      <c r="Y1" s="2" t="s">
        <v>55</v>
      </c>
      <c r="AA1" s="2" t="s">
        <v>60</v>
      </c>
      <c r="AB1" s="2" t="s">
        <v>61</v>
      </c>
      <c r="AC1" s="2" t="s">
        <v>54</v>
      </c>
      <c r="AE1" s="2" t="s">
        <v>52</v>
      </c>
      <c r="AF1" s="2" t="s">
        <v>53</v>
      </c>
      <c r="AG1" s="2" t="s">
        <v>55</v>
      </c>
    </row>
    <row r="2" spans="1:33" x14ac:dyDescent="0.2">
      <c r="A2" s="1">
        <v>1</v>
      </c>
      <c r="B2" s="1" t="s">
        <v>0</v>
      </c>
      <c r="C2" s="1" t="s">
        <v>32</v>
      </c>
      <c r="D2" s="1">
        <v>12</v>
      </c>
      <c r="E2" s="1">
        <v>463</v>
      </c>
      <c r="F2" s="1">
        <v>119</v>
      </c>
      <c r="G2" s="1">
        <v>0.14307503360927101</v>
      </c>
      <c r="H2" s="1">
        <v>0.17293012331180271</v>
      </c>
      <c r="I2" s="1">
        <f>D2/D$18</f>
        <v>0.11764705882352941</v>
      </c>
      <c r="J2" s="1">
        <f>E2/E$18</f>
        <v>0.18163985876814437</v>
      </c>
      <c r="K2" s="1">
        <f>F2/F$18</f>
        <v>0.15178571428571427</v>
      </c>
      <c r="M2" s="1">
        <f>D2+E2+F2</f>
        <v>594</v>
      </c>
      <c r="O2" s="1">
        <f>($M2*D$18)/$M$18</f>
        <v>17.638427947598252</v>
      </c>
      <c r="P2" s="1">
        <f t="shared" ref="P2:Q2" si="0">($M2*E$18)/$M$18</f>
        <v>440.78777292576422</v>
      </c>
      <c r="Q2" s="1">
        <f t="shared" si="0"/>
        <v>135.57379912663757</v>
      </c>
      <c r="S2">
        <f>D2-O2</f>
        <v>-5.6384279475982524</v>
      </c>
      <c r="T2">
        <f t="shared" ref="T2:U2" si="1">E2-P2</f>
        <v>22.212227074235784</v>
      </c>
      <c r="U2">
        <f t="shared" si="1"/>
        <v>-16.573799126637567</v>
      </c>
      <c r="W2" s="1">
        <f>(S2*S2)/O2</f>
        <v>1.8024208174734755</v>
      </c>
      <c r="X2" s="1">
        <f>(T2*T2)/P2</f>
        <v>1.119321047229926</v>
      </c>
      <c r="Y2" s="1">
        <f t="shared" ref="Y2" si="2">(U2*U2)/Q2</f>
        <v>2.0261349852234161</v>
      </c>
      <c r="AA2" s="1">
        <f>S2</f>
        <v>-5.6384279475982524</v>
      </c>
      <c r="AB2" s="1">
        <f>T2</f>
        <v>22.212227074235784</v>
      </c>
      <c r="AC2" s="1">
        <f>U2</f>
        <v>-16.573799126637567</v>
      </c>
      <c r="AE2" s="1">
        <f>W2</f>
        <v>1.8024208174734755</v>
      </c>
      <c r="AF2" s="1">
        <f>X2</f>
        <v>1.119321047229926</v>
      </c>
      <c r="AG2" s="1">
        <f>Y2</f>
        <v>2.0261349852234161</v>
      </c>
    </row>
    <row r="3" spans="1:33" x14ac:dyDescent="0.2">
      <c r="A3" s="1">
        <v>2</v>
      </c>
      <c r="B3" s="1" t="s">
        <v>1</v>
      </c>
      <c r="C3" s="1" t="s">
        <v>33</v>
      </c>
      <c r="D3" s="1">
        <v>4</v>
      </c>
      <c r="E3" s="1">
        <v>77</v>
      </c>
      <c r="F3" s="1">
        <v>39</v>
      </c>
      <c r="G3" s="1">
        <v>4.5242044345037098E-2</v>
      </c>
      <c r="H3" s="1">
        <v>3.4938344098649439E-2</v>
      </c>
      <c r="I3" s="1">
        <f t="shared" ref="I3:K16" si="3">D3/D$18</f>
        <v>3.9215686274509803E-2</v>
      </c>
      <c r="J3" s="1">
        <f t="shared" si="3"/>
        <v>3.0207924676343666E-2</v>
      </c>
      <c r="K3" s="1">
        <f t="shared" si="3"/>
        <v>4.9744897959183673E-2</v>
      </c>
      <c r="M3" s="1">
        <f t="shared" ref="M3:M16" si="4">D3+E3+F3</f>
        <v>120</v>
      </c>
      <c r="O3" s="1">
        <f t="shared" ref="O3:O16" si="5">($M3*D$18)/$M$18</f>
        <v>3.5633187772925763</v>
      </c>
      <c r="P3" s="1">
        <f t="shared" ref="P3:P16" si="6">($M3*E$18)/$M$18</f>
        <v>89.048034934497821</v>
      </c>
      <c r="Q3" s="1">
        <f t="shared" ref="Q3:Q16" si="7">($M3*F$18)/$M$18</f>
        <v>27.388646288209607</v>
      </c>
      <c r="S3">
        <f t="shared" ref="S3:S16" si="8">D3-O3</f>
        <v>0.43668122270742371</v>
      </c>
      <c r="T3">
        <f t="shared" ref="T3:T16" si="9">E3-P3</f>
        <v>-12.048034934497821</v>
      </c>
      <c r="U3">
        <f t="shared" ref="U3:U16" si="10">F3-Q3</f>
        <v>11.611353711790393</v>
      </c>
      <c r="W3" s="1">
        <f t="shared" ref="W3:W16" si="11">(S3*S3)/O3</f>
        <v>5.3514855723949005E-2</v>
      </c>
      <c r="X3" s="1">
        <f t="shared" ref="X3:X16" si="12">(T3*T3)/P3</f>
        <v>1.6300769117437965</v>
      </c>
      <c r="Y3" s="1">
        <f t="shared" ref="Y3:Y16" si="13">(U3*U3)/Q3</f>
        <v>4.9226067473932797</v>
      </c>
      <c r="AA3" s="1">
        <f>SUM(D3:D4)-SUM(O3:O4)</f>
        <v>0.5170305676855893</v>
      </c>
      <c r="AB3" s="1">
        <f>SUM(E3:E4)-SUM(P3:P4)</f>
        <v>-13.000873362445418</v>
      </c>
      <c r="AC3" s="1">
        <f>SUM(F3:F4)-SUM(Q3:Q4)</f>
        <v>12.483842794759823</v>
      </c>
      <c r="AE3" s="1">
        <f>(AA3*AA3)/SUM(O3:O4)</f>
        <v>3.5723867421786737E-2</v>
      </c>
      <c r="AF3" s="1">
        <f>(AB3*AB3)/SUM(P3:P4)</f>
        <v>0.90386052828075691</v>
      </c>
      <c r="AG3" s="1">
        <f>(AC3*AC3)/SUM(Q3:Q4)</f>
        <v>2.7096095861925549</v>
      </c>
    </row>
    <row r="4" spans="1:33" x14ac:dyDescent="0.2">
      <c r="A4" s="1">
        <v>3</v>
      </c>
      <c r="B4" s="1" t="s">
        <v>2</v>
      </c>
      <c r="C4" s="1" t="s">
        <v>43</v>
      </c>
      <c r="D4" s="1">
        <v>4</v>
      </c>
      <c r="E4" s="1">
        <v>97</v>
      </c>
      <c r="F4" s="1">
        <v>31</v>
      </c>
      <c r="G4" s="1">
        <v>4.5242044345037098E-2</v>
      </c>
      <c r="H4" s="1">
        <v>3.7874339401056958E-2</v>
      </c>
      <c r="I4" s="1">
        <f t="shared" si="3"/>
        <v>3.9215686274509803E-2</v>
      </c>
      <c r="J4" s="1">
        <f t="shared" si="3"/>
        <v>3.8054138877991368E-2</v>
      </c>
      <c r="K4" s="1">
        <f t="shared" si="3"/>
        <v>3.9540816326530615E-2</v>
      </c>
      <c r="M4" s="1">
        <f t="shared" si="4"/>
        <v>132</v>
      </c>
      <c r="O4" s="1">
        <f t="shared" si="5"/>
        <v>3.919650655021834</v>
      </c>
      <c r="P4" s="1">
        <f t="shared" si="6"/>
        <v>97.952838427947597</v>
      </c>
      <c r="Q4" s="1">
        <f t="shared" si="7"/>
        <v>30.127510917030566</v>
      </c>
      <c r="S4">
        <f t="shared" si="8"/>
        <v>8.0349344978166037E-2</v>
      </c>
      <c r="T4">
        <f t="shared" si="9"/>
        <v>-0.95283842794759721</v>
      </c>
      <c r="U4">
        <f t="shared" si="10"/>
        <v>0.87248908296943384</v>
      </c>
      <c r="W4" s="1">
        <f t="shared" si="11"/>
        <v>1.6470899594454734E-3</v>
      </c>
      <c r="X4" s="1">
        <f t="shared" si="12"/>
        <v>9.2687571319486021E-3</v>
      </c>
      <c r="Y4" s="1">
        <f t="shared" si="13"/>
        <v>2.5267178626115085E-2</v>
      </c>
      <c r="AA4"/>
      <c r="AB4"/>
      <c r="AC4"/>
      <c r="AE4"/>
      <c r="AF4"/>
      <c r="AG4"/>
    </row>
    <row r="5" spans="1:33" x14ac:dyDescent="0.2">
      <c r="A5" s="1">
        <v>4</v>
      </c>
      <c r="B5" s="1" t="s">
        <v>3</v>
      </c>
      <c r="C5" s="1" t="s">
        <v>4</v>
      </c>
      <c r="D5" s="1">
        <v>28</v>
      </c>
      <c r="E5" s="1">
        <v>934</v>
      </c>
      <c r="F5" s="1">
        <v>263</v>
      </c>
      <c r="G5" s="1">
        <v>0.36583060266556799</v>
      </c>
      <c r="H5" s="1">
        <v>0.35760422783323548</v>
      </c>
      <c r="I5" s="1">
        <f t="shared" si="3"/>
        <v>0.27450980392156865</v>
      </c>
      <c r="J5" s="1">
        <f t="shared" si="3"/>
        <v>0.36641820321694785</v>
      </c>
      <c r="K5" s="1">
        <f t="shared" si="3"/>
        <v>0.33545918367346939</v>
      </c>
      <c r="M5" s="1">
        <f t="shared" si="4"/>
        <v>1225</v>
      </c>
      <c r="O5" s="1">
        <f t="shared" si="5"/>
        <v>36.375545851528386</v>
      </c>
      <c r="P5" s="1">
        <f t="shared" si="6"/>
        <v>909.03202328966518</v>
      </c>
      <c r="Q5" s="1">
        <f t="shared" si="7"/>
        <v>279.59243085880638</v>
      </c>
      <c r="S5">
        <f t="shared" si="8"/>
        <v>-8.3755458515283863</v>
      </c>
      <c r="T5">
        <f t="shared" si="9"/>
        <v>24.967976710334824</v>
      </c>
      <c r="U5">
        <f t="shared" si="10"/>
        <v>-16.592430858806381</v>
      </c>
      <c r="W5" s="1">
        <f t="shared" si="11"/>
        <v>1.9284870279989732</v>
      </c>
      <c r="X5" s="1">
        <f t="shared" si="12"/>
        <v>0.68578426836033957</v>
      </c>
      <c r="Y5" s="1">
        <f t="shared" si="13"/>
        <v>0.98467888046404461</v>
      </c>
      <c r="AA5" s="1">
        <f t="shared" ref="AA5:AA7" si="14">S5</f>
        <v>-8.3755458515283863</v>
      </c>
      <c r="AB5" s="1">
        <f t="shared" ref="AB5:AB7" si="15">T5</f>
        <v>24.967976710334824</v>
      </c>
      <c r="AC5" s="1">
        <f t="shared" ref="AC5:AC7" si="16">U5</f>
        <v>-16.592430858806381</v>
      </c>
      <c r="AE5" s="1">
        <f t="shared" ref="AE5:AE7" si="17">W5</f>
        <v>1.9284870279989732</v>
      </c>
      <c r="AF5" s="1">
        <f t="shared" ref="AF5:AF7" si="18">X5</f>
        <v>0.68578426836033957</v>
      </c>
      <c r="AG5" s="1">
        <f t="shared" ref="AG5:AG7" si="19">Y5</f>
        <v>0.98467888046404461</v>
      </c>
    </row>
    <row r="6" spans="1:33" x14ac:dyDescent="0.2">
      <c r="A6" s="1">
        <v>5</v>
      </c>
      <c r="B6" s="1" t="s">
        <v>5</v>
      </c>
      <c r="C6" s="1" t="s">
        <v>6</v>
      </c>
      <c r="D6" s="1">
        <v>8</v>
      </c>
      <c r="E6" s="1">
        <v>258</v>
      </c>
      <c r="F6" s="1">
        <v>78</v>
      </c>
      <c r="G6" s="1">
        <v>0.13685200522511101</v>
      </c>
      <c r="H6" s="1">
        <v>0.10041103934233706</v>
      </c>
      <c r="I6" s="1">
        <f t="shared" si="3"/>
        <v>7.8431372549019607E-2</v>
      </c>
      <c r="J6" s="1">
        <f t="shared" si="3"/>
        <v>0.1012161632012554</v>
      </c>
      <c r="K6" s="1">
        <f t="shared" si="3"/>
        <v>9.9489795918367346E-2</v>
      </c>
      <c r="M6" s="1">
        <f t="shared" si="4"/>
        <v>344</v>
      </c>
      <c r="O6" s="1">
        <f t="shared" si="5"/>
        <v>10.214847161572052</v>
      </c>
      <c r="P6" s="1">
        <f t="shared" si="6"/>
        <v>255.27103347889374</v>
      </c>
      <c r="Q6" s="1">
        <f t="shared" si="7"/>
        <v>78.514119359534206</v>
      </c>
      <c r="S6">
        <f t="shared" si="8"/>
        <v>-2.2148471615720524</v>
      </c>
      <c r="T6">
        <f t="shared" si="9"/>
        <v>2.7289665211062584</v>
      </c>
      <c r="U6">
        <f t="shared" si="10"/>
        <v>-0.51411935953420596</v>
      </c>
      <c r="W6" s="1">
        <f t="shared" si="11"/>
        <v>0.48023703845303733</v>
      </c>
      <c r="X6" s="1">
        <f t="shared" si="12"/>
        <v>2.9173926127950382E-2</v>
      </c>
      <c r="Y6" s="1">
        <f t="shared" si="13"/>
        <v>3.366511883518504E-3</v>
      </c>
      <c r="AA6" s="1">
        <f t="shared" si="14"/>
        <v>-2.2148471615720524</v>
      </c>
      <c r="AB6" s="1">
        <f t="shared" si="15"/>
        <v>2.7289665211062584</v>
      </c>
      <c r="AC6" s="1">
        <f t="shared" si="16"/>
        <v>-0.51411935953420596</v>
      </c>
      <c r="AE6" s="1">
        <f t="shared" si="17"/>
        <v>0.48023703845303733</v>
      </c>
      <c r="AF6" s="1">
        <f t="shared" si="18"/>
        <v>2.9173926127950382E-2</v>
      </c>
      <c r="AG6" s="1">
        <f t="shared" si="19"/>
        <v>3.366511883518504E-3</v>
      </c>
    </row>
    <row r="7" spans="1:33" x14ac:dyDescent="0.2">
      <c r="A7" s="1">
        <v>6</v>
      </c>
      <c r="B7" s="1" t="s">
        <v>7</v>
      </c>
      <c r="C7" s="1" t="s">
        <v>8</v>
      </c>
      <c r="D7" s="1">
        <v>7</v>
      </c>
      <c r="E7" s="1">
        <v>186</v>
      </c>
      <c r="F7" s="1">
        <v>83</v>
      </c>
      <c r="G7" s="1">
        <v>7.4191033791629502E-2</v>
      </c>
      <c r="H7" s="1">
        <v>8.0446271285965945E-2</v>
      </c>
      <c r="I7" s="1">
        <f t="shared" si="3"/>
        <v>6.8627450980392163E-2</v>
      </c>
      <c r="J7" s="1">
        <f t="shared" si="3"/>
        <v>7.2969792075323656E-2</v>
      </c>
      <c r="K7" s="1">
        <f t="shared" si="3"/>
        <v>0.10586734693877552</v>
      </c>
      <c r="M7" s="1">
        <f t="shared" si="4"/>
        <v>276</v>
      </c>
      <c r="O7" s="1">
        <f t="shared" si="5"/>
        <v>8.1956331877729252</v>
      </c>
      <c r="P7" s="1">
        <f t="shared" si="6"/>
        <v>204.81048034934497</v>
      </c>
      <c r="Q7" s="1">
        <f t="shared" si="7"/>
        <v>62.993886462882095</v>
      </c>
      <c r="S7">
        <f t="shared" si="8"/>
        <v>-1.1956331877729252</v>
      </c>
      <c r="T7">
        <f t="shared" si="9"/>
        <v>-18.810480349344971</v>
      </c>
      <c r="U7">
        <f t="shared" si="10"/>
        <v>20.006113537117905</v>
      </c>
      <c r="W7" s="1">
        <f t="shared" si="11"/>
        <v>0.17442687916252492</v>
      </c>
      <c r="X7" s="1">
        <f t="shared" si="12"/>
        <v>1.7276175045806192</v>
      </c>
      <c r="Y7" s="1">
        <f t="shared" si="13"/>
        <v>6.353705118605256</v>
      </c>
      <c r="AA7" s="1">
        <f t="shared" si="14"/>
        <v>-1.1956331877729252</v>
      </c>
      <c r="AB7" s="1">
        <f t="shared" si="15"/>
        <v>-18.810480349344971</v>
      </c>
      <c r="AC7" s="1">
        <f t="shared" si="16"/>
        <v>20.006113537117905</v>
      </c>
      <c r="AE7" s="1">
        <f t="shared" si="17"/>
        <v>0.17442687916252492</v>
      </c>
      <c r="AF7" s="1">
        <f t="shared" si="18"/>
        <v>1.7276175045806192</v>
      </c>
      <c r="AG7" s="1">
        <f t="shared" si="19"/>
        <v>6.353705118605256</v>
      </c>
    </row>
    <row r="8" spans="1:33" x14ac:dyDescent="0.2">
      <c r="A8" s="1">
        <v>7</v>
      </c>
      <c r="B8" s="1" t="s">
        <v>9</v>
      </c>
      <c r="C8" s="1" t="s">
        <v>10</v>
      </c>
      <c r="D8" s="1">
        <v>3</v>
      </c>
      <c r="E8" s="1">
        <v>41</v>
      </c>
      <c r="F8" s="1">
        <v>23</v>
      </c>
      <c r="G8" s="1">
        <v>3.9019015960876403E-2</v>
      </c>
      <c r="H8" s="1">
        <v>1.9671168526130357E-2</v>
      </c>
      <c r="I8" s="1">
        <f t="shared" si="3"/>
        <v>2.9411764705882353E-2</v>
      </c>
      <c r="J8" s="1">
        <f t="shared" si="3"/>
        <v>1.6084739113377794E-2</v>
      </c>
      <c r="K8" s="1">
        <f t="shared" si="3"/>
        <v>2.9336734693877552E-2</v>
      </c>
      <c r="M8" s="1">
        <f t="shared" si="4"/>
        <v>67</v>
      </c>
      <c r="O8" s="1">
        <f t="shared" si="5"/>
        <v>1.9895196506550219</v>
      </c>
      <c r="P8" s="1">
        <f t="shared" si="6"/>
        <v>49.718486171761278</v>
      </c>
      <c r="Q8" s="1">
        <f t="shared" si="7"/>
        <v>15.291994177583698</v>
      </c>
      <c r="S8">
        <f t="shared" si="8"/>
        <v>1.0104803493449781</v>
      </c>
      <c r="T8">
        <f t="shared" si="9"/>
        <v>-8.7184861717612776</v>
      </c>
      <c r="U8">
        <f t="shared" si="10"/>
        <v>7.7080058224163022</v>
      </c>
      <c r="W8" s="1">
        <f t="shared" si="11"/>
        <v>0.51322465504483739</v>
      </c>
      <c r="X8" s="1">
        <f t="shared" si="12"/>
        <v>1.528847858814441</v>
      </c>
      <c r="Y8" s="1">
        <f t="shared" si="13"/>
        <v>3.8852587222075163</v>
      </c>
    </row>
    <row r="9" spans="1:33" x14ac:dyDescent="0.2">
      <c r="A9" s="1">
        <v>8</v>
      </c>
      <c r="B9" s="1" t="s">
        <v>11</v>
      </c>
      <c r="C9" s="1" t="s">
        <v>12</v>
      </c>
      <c r="D9" s="1">
        <v>0</v>
      </c>
      <c r="E9" s="1">
        <v>32</v>
      </c>
      <c r="F9" s="1">
        <v>4</v>
      </c>
      <c r="G9" s="1">
        <v>6.2230283841607104E-3</v>
      </c>
      <c r="H9" s="1">
        <v>1.0569583088667059E-2</v>
      </c>
      <c r="I9" s="1">
        <f t="shared" si="3"/>
        <v>0</v>
      </c>
      <c r="J9" s="1">
        <f t="shared" si="3"/>
        <v>1.2553942722636328E-2</v>
      </c>
      <c r="K9" s="1">
        <f t="shared" si="3"/>
        <v>5.1020408163265302E-3</v>
      </c>
      <c r="M9" s="1">
        <f t="shared" si="4"/>
        <v>36</v>
      </c>
      <c r="O9" s="1">
        <f t="shared" si="5"/>
        <v>1.068995633187773</v>
      </c>
      <c r="P9" s="1">
        <f t="shared" si="6"/>
        <v>26.714410480349343</v>
      </c>
      <c r="Q9" s="1">
        <f t="shared" si="7"/>
        <v>8.2165938864628814</v>
      </c>
      <c r="S9">
        <f t="shared" si="8"/>
        <v>-1.068995633187773</v>
      </c>
      <c r="T9">
        <f t="shared" si="9"/>
        <v>5.2855895196506566</v>
      </c>
      <c r="U9">
        <f t="shared" si="10"/>
        <v>-4.2165938864628814</v>
      </c>
      <c r="W9" s="1">
        <f t="shared" si="11"/>
        <v>1.068995633187773</v>
      </c>
      <c r="X9" s="1">
        <f t="shared" si="12"/>
        <v>1.045782260132267</v>
      </c>
      <c r="Y9" s="1">
        <f t="shared" si="13"/>
        <v>2.1638727980275072</v>
      </c>
    </row>
    <row r="10" spans="1:33" x14ac:dyDescent="0.2">
      <c r="A10" s="1">
        <v>9</v>
      </c>
      <c r="B10" s="1" t="s">
        <v>13</v>
      </c>
      <c r="C10" s="1" t="s">
        <v>14</v>
      </c>
      <c r="D10" s="1">
        <v>1</v>
      </c>
      <c r="E10" s="1">
        <v>15</v>
      </c>
      <c r="F10" s="1">
        <v>8</v>
      </c>
      <c r="G10" s="1">
        <v>6.2230283841607104E-3</v>
      </c>
      <c r="H10" s="1">
        <v>7.046388725778039E-3</v>
      </c>
      <c r="I10" s="1">
        <f t="shared" si="3"/>
        <v>9.8039215686274508E-3</v>
      </c>
      <c r="J10" s="1">
        <f t="shared" si="3"/>
        <v>5.8846606512357787E-3</v>
      </c>
      <c r="K10" s="1">
        <f t="shared" si="3"/>
        <v>1.020408163265306E-2</v>
      </c>
      <c r="M10" s="1">
        <f t="shared" si="4"/>
        <v>24</v>
      </c>
      <c r="O10" s="1">
        <f t="shared" si="5"/>
        <v>0.71266375545851524</v>
      </c>
      <c r="P10" s="1">
        <f t="shared" si="6"/>
        <v>17.809606986899563</v>
      </c>
      <c r="Q10" s="1">
        <f t="shared" si="7"/>
        <v>5.4777292576419212</v>
      </c>
      <c r="S10">
        <f t="shared" si="8"/>
        <v>0.28733624454148476</v>
      </c>
      <c r="T10">
        <f t="shared" si="9"/>
        <v>-2.8096069868995635</v>
      </c>
      <c r="U10">
        <f t="shared" si="10"/>
        <v>2.5222707423580788</v>
      </c>
      <c r="W10" s="1">
        <f t="shared" si="11"/>
        <v>0.11585002996831925</v>
      </c>
      <c r="X10" s="1">
        <f t="shared" si="12"/>
        <v>0.44323782252137583</v>
      </c>
      <c r="Y10" s="1">
        <f t="shared" si="13"/>
        <v>1.1614027270296767</v>
      </c>
    </row>
    <row r="11" spans="1:33" x14ac:dyDescent="0.2">
      <c r="A11" s="1">
        <v>10</v>
      </c>
      <c r="B11" s="1" t="s">
        <v>15</v>
      </c>
      <c r="C11" s="1" t="s">
        <v>16</v>
      </c>
      <c r="D11" s="1">
        <v>24</v>
      </c>
      <c r="E11" s="1">
        <v>261</v>
      </c>
      <c r="F11" s="1">
        <v>77</v>
      </c>
      <c r="G11" s="1">
        <v>7.4191033791629502E-2</v>
      </c>
      <c r="H11" s="1">
        <v>0.10422783323546682</v>
      </c>
      <c r="I11" s="1">
        <f t="shared" si="3"/>
        <v>0.23529411764705882</v>
      </c>
      <c r="J11" s="1">
        <f t="shared" si="3"/>
        <v>0.10239309533150255</v>
      </c>
      <c r="K11" s="1">
        <f t="shared" si="3"/>
        <v>9.8214285714285712E-2</v>
      </c>
      <c r="M11" s="1">
        <f t="shared" si="4"/>
        <v>362</v>
      </c>
      <c r="O11" s="1">
        <f t="shared" si="5"/>
        <v>10.749344978165938</v>
      </c>
      <c r="P11" s="1">
        <f t="shared" si="6"/>
        <v>268.62823871906841</v>
      </c>
      <c r="Q11" s="1">
        <f t="shared" si="7"/>
        <v>82.622416302765643</v>
      </c>
      <c r="S11">
        <f t="shared" si="8"/>
        <v>13.250655021834062</v>
      </c>
      <c r="T11">
        <f t="shared" si="9"/>
        <v>-7.6282387190684062</v>
      </c>
      <c r="U11">
        <f t="shared" si="10"/>
        <v>-5.6224163027656431</v>
      </c>
      <c r="W11" s="1">
        <f t="shared" si="11"/>
        <v>16.334005361656356</v>
      </c>
      <c r="X11" s="1">
        <f t="shared" si="12"/>
        <v>0.21661916942376847</v>
      </c>
      <c r="Y11" s="1">
        <f t="shared" si="13"/>
        <v>0.38260276685404493</v>
      </c>
      <c r="AA11" s="1">
        <f>S11</f>
        <v>13.250655021834062</v>
      </c>
      <c r="AB11" s="1">
        <f>T11</f>
        <v>-7.6282387190684062</v>
      </c>
      <c r="AC11" s="1">
        <f>U11</f>
        <v>-5.6224163027656431</v>
      </c>
      <c r="AE11" s="1">
        <f t="shared" ref="AE11" si="20">W11</f>
        <v>16.334005361656356</v>
      </c>
      <c r="AF11" s="1">
        <f t="shared" ref="AF11" si="21">X11</f>
        <v>0.21661916942376847</v>
      </c>
      <c r="AG11" s="1">
        <f t="shared" ref="AG11" si="22">Y11</f>
        <v>0.38260276685404493</v>
      </c>
    </row>
    <row r="12" spans="1:33" x14ac:dyDescent="0.2">
      <c r="A12" s="1">
        <v>11</v>
      </c>
      <c r="B12" s="1" t="s">
        <v>17</v>
      </c>
      <c r="C12" s="1" t="s">
        <v>18</v>
      </c>
      <c r="D12" s="1">
        <v>3</v>
      </c>
      <c r="E12" s="1">
        <v>46</v>
      </c>
      <c r="F12" s="1">
        <v>20</v>
      </c>
      <c r="G12" s="1">
        <v>3.9019015960876403E-2</v>
      </c>
      <c r="H12" s="1">
        <v>2.0258367586611863E-2</v>
      </c>
      <c r="I12" s="1">
        <f t="shared" si="3"/>
        <v>2.9411764705882353E-2</v>
      </c>
      <c r="J12" s="1">
        <f t="shared" si="3"/>
        <v>1.8046292663789723E-2</v>
      </c>
      <c r="K12" s="1">
        <f t="shared" si="3"/>
        <v>2.5510204081632654E-2</v>
      </c>
      <c r="M12" s="1">
        <f t="shared" si="4"/>
        <v>69</v>
      </c>
      <c r="O12" s="1">
        <f t="shared" si="5"/>
        <v>2.0489082969432313</v>
      </c>
      <c r="P12" s="1">
        <f t="shared" si="6"/>
        <v>51.202620087336243</v>
      </c>
      <c r="Q12" s="1">
        <f t="shared" si="7"/>
        <v>15.748471615720524</v>
      </c>
      <c r="S12">
        <f t="shared" si="8"/>
        <v>0.95109170305676871</v>
      </c>
      <c r="T12">
        <f t="shared" si="9"/>
        <v>-5.2026200873362427</v>
      </c>
      <c r="U12">
        <f t="shared" si="10"/>
        <v>4.2515283842794762</v>
      </c>
      <c r="W12" s="1">
        <f t="shared" si="11"/>
        <v>0.44149141714783519</v>
      </c>
      <c r="X12" s="1">
        <f t="shared" si="12"/>
        <v>0.5286302874147063</v>
      </c>
      <c r="Y12" s="1">
        <f t="shared" si="13"/>
        <v>1.1477617665634701</v>
      </c>
    </row>
    <row r="13" spans="1:33" x14ac:dyDescent="0.2">
      <c r="A13" s="1">
        <v>12</v>
      </c>
      <c r="B13" s="1" t="s">
        <v>19</v>
      </c>
      <c r="C13" s="1" t="s">
        <v>20</v>
      </c>
      <c r="D13" s="1">
        <v>1</v>
      </c>
      <c r="E13" s="1">
        <v>25</v>
      </c>
      <c r="F13" s="1">
        <v>8</v>
      </c>
      <c r="G13" s="1">
        <v>6.2230283841607104E-3</v>
      </c>
      <c r="H13" s="1">
        <v>9.6887844979448041E-3</v>
      </c>
      <c r="I13" s="1">
        <f t="shared" si="3"/>
        <v>9.8039215686274508E-3</v>
      </c>
      <c r="J13" s="1">
        <f t="shared" si="3"/>
        <v>9.8077677520596318E-3</v>
      </c>
      <c r="K13" s="1">
        <f t="shared" si="3"/>
        <v>1.020408163265306E-2</v>
      </c>
      <c r="M13" s="1">
        <f t="shared" si="4"/>
        <v>34</v>
      </c>
      <c r="O13" s="1">
        <f t="shared" si="5"/>
        <v>1.0096069868995634</v>
      </c>
      <c r="P13" s="1">
        <f t="shared" si="6"/>
        <v>25.230276564774382</v>
      </c>
      <c r="Q13" s="1">
        <f t="shared" si="7"/>
        <v>7.7601164483260554</v>
      </c>
      <c r="S13">
        <f t="shared" si="8"/>
        <v>-9.6069868995634078E-3</v>
      </c>
      <c r="T13">
        <f t="shared" si="9"/>
        <v>-0.23027656477438185</v>
      </c>
      <c r="U13">
        <f t="shared" si="10"/>
        <v>0.23988355167394459</v>
      </c>
      <c r="W13" s="1">
        <f t="shared" si="11"/>
        <v>9.1415965307265103E-5</v>
      </c>
      <c r="X13" s="1">
        <f t="shared" si="12"/>
        <v>2.1017326602881916E-3</v>
      </c>
      <c r="Y13" s="1">
        <f t="shared" si="13"/>
        <v>7.4153678938824385E-3</v>
      </c>
    </row>
    <row r="14" spans="1:33" x14ac:dyDescent="0.2">
      <c r="A14" s="1">
        <v>13</v>
      </c>
      <c r="B14" s="1" t="s">
        <v>21</v>
      </c>
      <c r="C14" s="1" t="s">
        <v>22</v>
      </c>
      <c r="D14" s="1">
        <v>1</v>
      </c>
      <c r="E14" s="1">
        <v>25</v>
      </c>
      <c r="F14" s="1">
        <v>7</v>
      </c>
      <c r="G14" s="1">
        <v>6.2230283841607104E-3</v>
      </c>
      <c r="H14" s="1">
        <v>9.6887844979448041E-3</v>
      </c>
      <c r="I14" s="1">
        <f t="shared" si="3"/>
        <v>9.8039215686274508E-3</v>
      </c>
      <c r="J14" s="1">
        <f t="shared" si="3"/>
        <v>9.8077677520596318E-3</v>
      </c>
      <c r="K14" s="1">
        <f t="shared" si="3"/>
        <v>8.9285714285714281E-3</v>
      </c>
      <c r="M14" s="1">
        <f t="shared" si="4"/>
        <v>33</v>
      </c>
      <c r="O14" s="1">
        <f t="shared" si="5"/>
        <v>0.97991266375545849</v>
      </c>
      <c r="P14" s="1">
        <f t="shared" si="6"/>
        <v>24.488209606986899</v>
      </c>
      <c r="Q14" s="1">
        <f t="shared" si="7"/>
        <v>7.5318777292576415</v>
      </c>
      <c r="S14">
        <f t="shared" si="8"/>
        <v>2.0087336244541509E-2</v>
      </c>
      <c r="T14">
        <f t="shared" si="9"/>
        <v>0.5117903930131007</v>
      </c>
      <c r="U14">
        <f t="shared" si="10"/>
        <v>-0.53187772925764154</v>
      </c>
      <c r="W14" s="1">
        <f t="shared" si="11"/>
        <v>4.1177248986136835E-4</v>
      </c>
      <c r="X14" s="1">
        <f t="shared" si="12"/>
        <v>1.0696143596621747E-2</v>
      </c>
      <c r="Y14" s="1">
        <f t="shared" si="13"/>
        <v>3.755954743946005E-2</v>
      </c>
    </row>
    <row r="15" spans="1:33" x14ac:dyDescent="0.2">
      <c r="A15" s="1">
        <v>14</v>
      </c>
      <c r="B15" s="1" t="s">
        <v>23</v>
      </c>
      <c r="C15" s="1" t="s">
        <v>24</v>
      </c>
      <c r="D15" s="1">
        <v>1</v>
      </c>
      <c r="E15" s="1">
        <v>40</v>
      </c>
      <c r="F15" s="1">
        <v>9</v>
      </c>
      <c r="G15" s="1">
        <v>6.2230283841607104E-3</v>
      </c>
      <c r="H15" s="1">
        <v>1.4386376981796829E-2</v>
      </c>
      <c r="I15" s="1">
        <f t="shared" si="3"/>
        <v>9.8039215686274508E-3</v>
      </c>
      <c r="J15" s="1">
        <f t="shared" si="3"/>
        <v>1.5692428403295409E-2</v>
      </c>
      <c r="K15" s="1">
        <f t="shared" si="3"/>
        <v>1.1479591836734694E-2</v>
      </c>
      <c r="M15" s="1">
        <f t="shared" si="4"/>
        <v>50</v>
      </c>
      <c r="O15" s="1">
        <f t="shared" si="5"/>
        <v>1.4847161572052401</v>
      </c>
      <c r="P15" s="1">
        <f t="shared" si="6"/>
        <v>37.103347889374092</v>
      </c>
      <c r="Q15" s="1">
        <f t="shared" si="7"/>
        <v>11.41193595342067</v>
      </c>
      <c r="S15">
        <f t="shared" si="8"/>
        <v>-0.48471615720524008</v>
      </c>
      <c r="T15">
        <f t="shared" si="9"/>
        <v>2.896652110625908</v>
      </c>
      <c r="U15">
        <f t="shared" si="10"/>
        <v>-2.4119359534206701</v>
      </c>
      <c r="W15" s="1">
        <f t="shared" si="11"/>
        <v>0.15824556896994602</v>
      </c>
      <c r="X15" s="1">
        <f t="shared" si="12"/>
        <v>0.22614114162987656</v>
      </c>
      <c r="Y15" s="1">
        <f t="shared" si="13"/>
        <v>0.50976758607373107</v>
      </c>
    </row>
    <row r="16" spans="1:33" x14ac:dyDescent="0.2">
      <c r="A16" s="1">
        <v>15</v>
      </c>
      <c r="B16" s="1" t="s">
        <v>25</v>
      </c>
      <c r="C16" s="1" t="s">
        <v>26</v>
      </c>
      <c r="D16" s="3">
        <v>5</v>
      </c>
      <c r="E16" s="1">
        <v>49</v>
      </c>
      <c r="F16" s="1">
        <v>15</v>
      </c>
      <c r="G16" s="1">
        <v>6.2230283841607104E-3</v>
      </c>
      <c r="H16" s="1">
        <v>2.0258367586611863E-2</v>
      </c>
      <c r="I16" s="1">
        <f t="shared" si="3"/>
        <v>4.9019607843137254E-2</v>
      </c>
      <c r="J16" s="1">
        <f t="shared" si="3"/>
        <v>1.9223224794036878E-2</v>
      </c>
      <c r="K16" s="1">
        <f t="shared" si="3"/>
        <v>1.913265306122449E-2</v>
      </c>
      <c r="M16" s="1">
        <f t="shared" si="4"/>
        <v>69</v>
      </c>
      <c r="O16" s="1">
        <f t="shared" si="5"/>
        <v>2.0489082969432313</v>
      </c>
      <c r="P16" s="1">
        <f t="shared" si="6"/>
        <v>51.202620087336243</v>
      </c>
      <c r="Q16" s="1">
        <f t="shared" si="7"/>
        <v>15.748471615720524</v>
      </c>
      <c r="S16">
        <f t="shared" si="8"/>
        <v>2.9510917030567687</v>
      </c>
      <c r="T16">
        <f t="shared" si="9"/>
        <v>-2.2026200873362427</v>
      </c>
      <c r="U16">
        <f t="shared" si="10"/>
        <v>-0.74847161572052379</v>
      </c>
      <c r="W16" s="1">
        <f t="shared" si="11"/>
        <v>4.2505280752893526</v>
      </c>
      <c r="X16" s="1">
        <f t="shared" si="12"/>
        <v>9.4751699050983323E-2</v>
      </c>
      <c r="Y16" s="1">
        <f t="shared" si="13"/>
        <v>3.5572325569681047E-2</v>
      </c>
      <c r="AA16" s="1">
        <f>SUM(D8:D10,D12:D16)-SUM(O8:O10,O12:O16)</f>
        <v>3.6567685589519652</v>
      </c>
      <c r="AB16" s="1">
        <f>SUM(E8:E10,E12:E16)-SUM(P8:P10,P12:P16)</f>
        <v>-10.469577874818071</v>
      </c>
      <c r="AC16" s="1">
        <f>SUM(F8:F10,F12:F16)-SUM(Q8:Q10,Q12:Q16)</f>
        <v>6.8128093158660903</v>
      </c>
      <c r="AE16" s="1">
        <f>(AA16*AA16)/SUM(O8:O10,O12:O16)</f>
        <v>1.1788489341185617</v>
      </c>
      <c r="AF16" s="1">
        <f>(AB16*AB16)/SUM(P8:P10,P12:P16)</f>
        <v>0.38668015699831271</v>
      </c>
      <c r="AG16" s="1">
        <f>(AC16*AC16)/SUM(Q8:Q10,Q12:Q16)</f>
        <v>0.5323530946478604</v>
      </c>
    </row>
    <row r="18" spans="4:32" x14ac:dyDescent="0.2">
      <c r="D18" s="1">
        <f>SUM(D2:D16)</f>
        <v>102</v>
      </c>
      <c r="E18" s="1">
        <f>SUM(E2:E16)</f>
        <v>2549</v>
      </c>
      <c r="F18" s="1">
        <f>SUM(F2:F16)</f>
        <v>784</v>
      </c>
      <c r="M18" s="1">
        <f>SUM(M2:M16)</f>
        <v>3435</v>
      </c>
      <c r="W18" s="1" t="s">
        <v>50</v>
      </c>
      <c r="X18" s="1">
        <f>SUM(W2:Y16)</f>
        <v>60.268601198764479</v>
      </c>
      <c r="AE18" s="1" t="s">
        <v>50</v>
      </c>
      <c r="AF18" s="1">
        <f>SUM(AE2:AG16)</f>
        <v>39.995657471157074</v>
      </c>
    </row>
    <row r="19" spans="4:32" x14ac:dyDescent="0.2">
      <c r="O19"/>
      <c r="P19"/>
      <c r="Q19"/>
      <c r="W19" s="1" t="s">
        <v>51</v>
      </c>
      <c r="X19" s="1">
        <f>CHIDIST(X18,28)</f>
        <v>3.7630237025416702E-4</v>
      </c>
      <c r="AE19" s="1" t="s">
        <v>51</v>
      </c>
      <c r="AF19" s="1">
        <f>CHIDIST(AF18,12)</f>
        <v>7.2028279338228095E-5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Gene trees counts</vt:lpstr>
      <vt:lpstr>Data type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Braun,Edward Louis</dc:creator>
  <cp:lastModifiedBy>Braun,Edward Louis</cp:lastModifiedBy>
  <dcterms:created xsi:type="dcterms:W3CDTF">2019-09-05T14:05:21Z</dcterms:created>
  <dcterms:modified xsi:type="dcterms:W3CDTF">2019-10-18T14:10:14Z</dcterms:modified>
</cp:coreProperties>
</file>