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IR Cristina\Latest updates\Revolution CRI\BioRXiv\Updates post deposition\Submission\BMC Biological Research\Revisions\Edited material\Revision 2_May 2025\"/>
    </mc:Choice>
  </mc:AlternateContent>
  <xr:revisionPtr revIDLastSave="0" documentId="13_ncr:1_{01EC30BE-A87B-488B-B6B1-B64751977F53}" xr6:coauthVersionLast="47" xr6:coauthVersionMax="47" xr10:uidLastSave="{00000000-0000-0000-0000-000000000000}"/>
  <bookViews>
    <workbookView xWindow="-108" yWindow="-108" windowWidth="23256" windowHeight="12576" firstSheet="5" activeTab="7" xr2:uid="{00000000-000D-0000-FFFF-FFFF00000000}"/>
  </bookViews>
  <sheets>
    <sheet name="Oregon - WT" sheetId="4" r:id="rId1"/>
    <sheet name="w;pIR76a-Gal4;pUASCpomIR41a1" sheetId="6" r:id="rId2"/>
    <sheet name="w;pIR75dGal4;IR75KO" sheetId="3" r:id="rId3"/>
    <sheet name="w;UASDsuzIR75d;IR75KO" sheetId="2" r:id="rId4"/>
    <sheet name="w;UASDsuzIR75d-IR75dGal4;IR75KO" sheetId="1" r:id="rId5"/>
    <sheet name="w;BlCyO;pIR84aKOGal4" sheetId="5" r:id="rId6"/>
    <sheet name="w;UASDsuzIR64a;pIR84a-Gal4" sheetId="11" r:id="rId7"/>
    <sheet name="w;UASCpomIR64a∆;pIR84a-Gal4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2" l="1"/>
  <c r="L2" i="1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" i="12"/>
  <c r="I3" i="12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" i="12"/>
  <c r="H2" i="11"/>
  <c r="L3" i="1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" i="4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" i="6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" i="3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" i="2"/>
  <c r="P2" i="1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" i="5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J2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P2" i="5"/>
  <c r="H24" i="12" l="1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" i="5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N2" i="11"/>
  <c r="I2" i="6"/>
  <c r="R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" i="6"/>
  <c r="P3" i="6"/>
  <c r="P4" i="6"/>
  <c r="P6" i="6"/>
  <c r="P7" i="6"/>
  <c r="P8" i="6"/>
  <c r="P9" i="6"/>
  <c r="P10" i="6"/>
  <c r="P11" i="6"/>
  <c r="P12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" i="6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" i="1"/>
  <c r="N3" i="11"/>
  <c r="N4" i="11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P3" i="1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" i="11"/>
  <c r="R3" i="11"/>
  <c r="R4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" i="11"/>
  <c r="T3" i="11"/>
  <c r="T4" i="11"/>
  <c r="T5" i="11"/>
  <c r="T6" i="11"/>
  <c r="T7" i="11"/>
  <c r="T8" i="11"/>
  <c r="T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" i="11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" i="12"/>
  <c r="Q3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" i="12"/>
  <c r="U3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" i="12"/>
  <c r="S3" i="12"/>
  <c r="S4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" i="12"/>
  <c r="L2" i="12" l="1"/>
  <c r="M2" i="5"/>
  <c r="G3" i="12" l="1"/>
  <c r="F26" i="11" l="1"/>
  <c r="E26" i="11"/>
  <c r="D26" i="11"/>
  <c r="C26" i="11"/>
  <c r="B26" i="11"/>
  <c r="F25" i="11"/>
  <c r="E25" i="11"/>
  <c r="D25" i="11"/>
  <c r="C25" i="11"/>
  <c r="B25" i="11"/>
  <c r="F24" i="11"/>
  <c r="E24" i="11"/>
  <c r="D24" i="11"/>
  <c r="C24" i="11"/>
  <c r="B24" i="11"/>
  <c r="J24" i="11" s="1"/>
  <c r="F23" i="11"/>
  <c r="E23" i="11"/>
  <c r="D23" i="11"/>
  <c r="C23" i="11"/>
  <c r="B23" i="11"/>
  <c r="F22" i="11"/>
  <c r="E22" i="11"/>
  <c r="D22" i="11"/>
  <c r="C22" i="11"/>
  <c r="B22" i="11"/>
  <c r="F21" i="11"/>
  <c r="E21" i="11"/>
  <c r="D21" i="11"/>
  <c r="C21" i="11"/>
  <c r="B21" i="11"/>
  <c r="F20" i="11"/>
  <c r="E20" i="11"/>
  <c r="D20" i="11"/>
  <c r="C20" i="11"/>
  <c r="B20" i="11"/>
  <c r="F19" i="11"/>
  <c r="E19" i="11"/>
  <c r="D19" i="11"/>
  <c r="C19" i="11"/>
  <c r="B19" i="11"/>
  <c r="F18" i="11"/>
  <c r="E18" i="11"/>
  <c r="D18" i="11"/>
  <c r="C18" i="11"/>
  <c r="B18" i="11"/>
  <c r="F17" i="11"/>
  <c r="E17" i="11"/>
  <c r="D17" i="11"/>
  <c r="C17" i="11"/>
  <c r="B17" i="11"/>
  <c r="F16" i="11"/>
  <c r="E16" i="11"/>
  <c r="D16" i="11"/>
  <c r="C16" i="11"/>
  <c r="B16" i="11"/>
  <c r="F15" i="11"/>
  <c r="E15" i="11"/>
  <c r="D15" i="11"/>
  <c r="C15" i="11"/>
  <c r="B15" i="11"/>
  <c r="F14" i="11"/>
  <c r="E14" i="11"/>
  <c r="D14" i="11"/>
  <c r="C14" i="11"/>
  <c r="B14" i="11"/>
  <c r="F13" i="11"/>
  <c r="E13" i="11"/>
  <c r="D13" i="11"/>
  <c r="C13" i="11"/>
  <c r="B13" i="11"/>
  <c r="F12" i="11"/>
  <c r="E12" i="11"/>
  <c r="D12" i="11"/>
  <c r="C12" i="11"/>
  <c r="B12" i="11"/>
  <c r="F11" i="11"/>
  <c r="E11" i="11"/>
  <c r="D11" i="11"/>
  <c r="C11" i="11"/>
  <c r="B11" i="11"/>
  <c r="F10" i="11"/>
  <c r="E10" i="11"/>
  <c r="D10" i="11"/>
  <c r="C10" i="11"/>
  <c r="B10" i="11"/>
  <c r="F9" i="11"/>
  <c r="E9" i="11"/>
  <c r="D9" i="11"/>
  <c r="C9" i="11"/>
  <c r="B9" i="11"/>
  <c r="F8" i="11"/>
  <c r="E8" i="11"/>
  <c r="D8" i="11"/>
  <c r="C8" i="11"/>
  <c r="B8" i="11"/>
  <c r="F7" i="11"/>
  <c r="E7" i="11"/>
  <c r="D7" i="11"/>
  <c r="C7" i="11"/>
  <c r="B7" i="11"/>
  <c r="F6" i="11"/>
  <c r="E6" i="11"/>
  <c r="D6" i="11"/>
  <c r="C6" i="11"/>
  <c r="J6" i="11" s="1"/>
  <c r="B6" i="11"/>
  <c r="F5" i="11"/>
  <c r="E5" i="11"/>
  <c r="D5" i="11"/>
  <c r="C5" i="11"/>
  <c r="B5" i="11"/>
  <c r="F4" i="11"/>
  <c r="E4" i="11"/>
  <c r="D4" i="11"/>
  <c r="C4" i="11"/>
  <c r="B4" i="11"/>
  <c r="F3" i="11"/>
  <c r="E3" i="11"/>
  <c r="D3" i="11"/>
  <c r="C3" i="11"/>
  <c r="B3" i="11"/>
  <c r="F2" i="11"/>
  <c r="E2" i="11"/>
  <c r="D2" i="11"/>
  <c r="C2" i="11"/>
  <c r="B2" i="11"/>
  <c r="G26" i="12"/>
  <c r="F26" i="12"/>
  <c r="E26" i="12"/>
  <c r="D26" i="12"/>
  <c r="C26" i="12"/>
  <c r="B26" i="12"/>
  <c r="G25" i="12"/>
  <c r="F25" i="12"/>
  <c r="E25" i="12"/>
  <c r="D25" i="12"/>
  <c r="C25" i="12"/>
  <c r="B25" i="12"/>
  <c r="G24" i="12"/>
  <c r="F24" i="12"/>
  <c r="E24" i="12"/>
  <c r="D24" i="12"/>
  <c r="C24" i="12"/>
  <c r="B24" i="12"/>
  <c r="G23" i="12"/>
  <c r="F23" i="12"/>
  <c r="E23" i="12"/>
  <c r="D23" i="12"/>
  <c r="C23" i="12"/>
  <c r="B23" i="12"/>
  <c r="G22" i="12"/>
  <c r="F22" i="12"/>
  <c r="E22" i="12"/>
  <c r="D22" i="12"/>
  <c r="C22" i="12"/>
  <c r="B22" i="12"/>
  <c r="G21" i="12"/>
  <c r="F21" i="12"/>
  <c r="E21" i="12"/>
  <c r="D21" i="12"/>
  <c r="C21" i="12"/>
  <c r="B21" i="12"/>
  <c r="G20" i="12"/>
  <c r="F20" i="12"/>
  <c r="E20" i="12"/>
  <c r="D20" i="12"/>
  <c r="C20" i="12"/>
  <c r="B20" i="12"/>
  <c r="G19" i="12"/>
  <c r="F19" i="12"/>
  <c r="E19" i="12"/>
  <c r="D19" i="12"/>
  <c r="C19" i="12"/>
  <c r="B19" i="12"/>
  <c r="G18" i="12"/>
  <c r="F18" i="12"/>
  <c r="E18" i="12"/>
  <c r="D18" i="12"/>
  <c r="C18" i="12"/>
  <c r="B18" i="12"/>
  <c r="G17" i="12"/>
  <c r="F17" i="12"/>
  <c r="E17" i="12"/>
  <c r="D17" i="12"/>
  <c r="C17" i="12"/>
  <c r="B17" i="12"/>
  <c r="G16" i="12"/>
  <c r="F16" i="12"/>
  <c r="E16" i="12"/>
  <c r="D16" i="12"/>
  <c r="C16" i="12"/>
  <c r="B16" i="12"/>
  <c r="G15" i="12"/>
  <c r="F15" i="12"/>
  <c r="E15" i="12"/>
  <c r="D15" i="12"/>
  <c r="C15" i="12"/>
  <c r="B15" i="12"/>
  <c r="G14" i="12"/>
  <c r="F14" i="12"/>
  <c r="E14" i="12"/>
  <c r="D14" i="12"/>
  <c r="C14" i="12"/>
  <c r="B14" i="12"/>
  <c r="G13" i="12"/>
  <c r="F13" i="12"/>
  <c r="E13" i="12"/>
  <c r="D13" i="12"/>
  <c r="C13" i="12"/>
  <c r="K13" i="12" s="1"/>
  <c r="B13" i="12"/>
  <c r="G12" i="12"/>
  <c r="F12" i="12"/>
  <c r="E12" i="12"/>
  <c r="D12" i="12"/>
  <c r="C12" i="12"/>
  <c r="B12" i="12"/>
  <c r="G11" i="12"/>
  <c r="F11" i="12"/>
  <c r="E11" i="12"/>
  <c r="D11" i="12"/>
  <c r="C11" i="12"/>
  <c r="B11" i="12"/>
  <c r="G10" i="12"/>
  <c r="F10" i="12"/>
  <c r="E10" i="12"/>
  <c r="D10" i="12"/>
  <c r="C10" i="12"/>
  <c r="B10" i="12"/>
  <c r="G9" i="12"/>
  <c r="F9" i="12"/>
  <c r="E9" i="12"/>
  <c r="D9" i="12"/>
  <c r="C9" i="12"/>
  <c r="B9" i="12"/>
  <c r="G8" i="12"/>
  <c r="F8" i="12"/>
  <c r="E8" i="12"/>
  <c r="D8" i="12"/>
  <c r="C8" i="12"/>
  <c r="B8" i="12"/>
  <c r="G7" i="12"/>
  <c r="F7" i="12"/>
  <c r="E7" i="12"/>
  <c r="D7" i="12"/>
  <c r="C7" i="12"/>
  <c r="B7" i="12"/>
  <c r="G6" i="12"/>
  <c r="F6" i="12"/>
  <c r="E6" i="12"/>
  <c r="D6" i="12"/>
  <c r="C6" i="12"/>
  <c r="B6" i="12"/>
  <c r="G5" i="12"/>
  <c r="F5" i="12"/>
  <c r="E5" i="12"/>
  <c r="D5" i="12"/>
  <c r="C5" i="12"/>
  <c r="B5" i="12"/>
  <c r="G4" i="12"/>
  <c r="F4" i="12"/>
  <c r="E4" i="12"/>
  <c r="D4" i="12"/>
  <c r="C4" i="12"/>
  <c r="B4" i="12"/>
  <c r="F3" i="12"/>
  <c r="E3" i="12"/>
  <c r="D3" i="12"/>
  <c r="C3" i="12"/>
  <c r="B3" i="12"/>
  <c r="G2" i="12"/>
  <c r="F2" i="12"/>
  <c r="E2" i="12"/>
  <c r="D2" i="12"/>
  <c r="C2" i="12"/>
  <c r="B2" i="12"/>
  <c r="I23" i="11" l="1"/>
  <c r="I17" i="11"/>
  <c r="G27" i="11"/>
  <c r="J15" i="11"/>
  <c r="H3" i="12"/>
  <c r="H10" i="12"/>
  <c r="I7" i="11"/>
  <c r="H2" i="12"/>
  <c r="H6" i="12"/>
  <c r="H22" i="12"/>
  <c r="H9" i="12"/>
  <c r="K17" i="12"/>
  <c r="H21" i="12"/>
  <c r="I6" i="11"/>
  <c r="J16" i="11"/>
  <c r="G17" i="11"/>
  <c r="I14" i="11"/>
  <c r="H20" i="12"/>
  <c r="J7" i="11"/>
  <c r="H8" i="12"/>
  <c r="H7" i="12"/>
  <c r="H19" i="12"/>
  <c r="H23" i="12"/>
  <c r="G2" i="11"/>
  <c r="I8" i="11"/>
  <c r="G16" i="11"/>
  <c r="I25" i="11"/>
  <c r="H4" i="12"/>
  <c r="K9" i="12"/>
  <c r="G23" i="11"/>
  <c r="G6" i="11"/>
  <c r="G13" i="11"/>
  <c r="G3" i="11"/>
  <c r="G20" i="11"/>
  <c r="J23" i="11"/>
  <c r="G14" i="11"/>
  <c r="I18" i="11"/>
  <c r="I26" i="11"/>
  <c r="G5" i="11"/>
  <c r="I10" i="11"/>
  <c r="G12" i="11"/>
  <c r="I15" i="11"/>
  <c r="J18" i="11"/>
  <c r="G22" i="11"/>
  <c r="G4" i="11"/>
  <c r="J25" i="11"/>
  <c r="G10" i="11"/>
  <c r="G8" i="11"/>
  <c r="G9" i="11"/>
  <c r="J17" i="11"/>
  <c r="G19" i="11"/>
  <c r="I2" i="11"/>
  <c r="G11" i="11"/>
  <c r="J14" i="11"/>
  <c r="I16" i="11"/>
  <c r="G21" i="11"/>
  <c r="I24" i="11"/>
  <c r="G7" i="11"/>
  <c r="J9" i="11"/>
  <c r="G18" i="11"/>
  <c r="I19" i="11"/>
  <c r="J26" i="11"/>
  <c r="K26" i="12"/>
  <c r="K18" i="12"/>
  <c r="K21" i="12"/>
  <c r="K22" i="12"/>
  <c r="K25" i="12"/>
  <c r="K7" i="12"/>
  <c r="J9" i="12"/>
  <c r="K3" i="12"/>
  <c r="J5" i="12"/>
  <c r="K11" i="12"/>
  <c r="H14" i="12"/>
  <c r="J13" i="12"/>
  <c r="K15" i="12"/>
  <c r="H18" i="12"/>
  <c r="J17" i="12"/>
  <c r="K19" i="12"/>
  <c r="K6" i="12"/>
  <c r="J8" i="12"/>
  <c r="H12" i="12"/>
  <c r="J21" i="12"/>
  <c r="K23" i="12"/>
  <c r="J26" i="12"/>
  <c r="K2" i="12"/>
  <c r="J4" i="12"/>
  <c r="K10" i="12"/>
  <c r="J12" i="12"/>
  <c r="H16" i="12"/>
  <c r="J25" i="12"/>
  <c r="K5" i="12"/>
  <c r="K14" i="12"/>
  <c r="J16" i="12"/>
  <c r="H11" i="12"/>
  <c r="H15" i="12"/>
  <c r="J20" i="12"/>
  <c r="J8" i="11"/>
  <c r="I9" i="11"/>
  <c r="G15" i="11"/>
  <c r="G24" i="11"/>
  <c r="J2" i="11"/>
  <c r="I3" i="11"/>
  <c r="J10" i="11"/>
  <c r="I11" i="11"/>
  <c r="J19" i="11"/>
  <c r="I20" i="11"/>
  <c r="J3" i="11"/>
  <c r="I4" i="11"/>
  <c r="J11" i="11"/>
  <c r="I12" i="11"/>
  <c r="J20" i="11"/>
  <c r="I21" i="11"/>
  <c r="J4" i="11"/>
  <c r="I5" i="11"/>
  <c r="J12" i="11"/>
  <c r="I13" i="11"/>
  <c r="J21" i="11"/>
  <c r="I22" i="11"/>
  <c r="J5" i="11"/>
  <c r="J13" i="11"/>
  <c r="J22" i="11"/>
  <c r="J2" i="12"/>
  <c r="H5" i="12"/>
  <c r="J6" i="12"/>
  <c r="J10" i="12"/>
  <c r="H13" i="12"/>
  <c r="J14" i="12"/>
  <c r="H17" i="12"/>
  <c r="J18" i="12"/>
  <c r="J22" i="12"/>
  <c r="J3" i="12"/>
  <c r="J7" i="12"/>
  <c r="J11" i="12"/>
  <c r="J15" i="12"/>
  <c r="J19" i="12"/>
  <c r="J23" i="12"/>
  <c r="J24" i="12"/>
  <c r="K4" i="12"/>
  <c r="K8" i="12"/>
  <c r="K12" i="12"/>
  <c r="K16" i="12"/>
  <c r="K20" i="12"/>
  <c r="K24" i="12"/>
  <c r="H16" i="2" l="1"/>
  <c r="G4" i="6"/>
  <c r="E25" i="2" l="1"/>
  <c r="E16" i="2"/>
  <c r="D16" i="2"/>
  <c r="D25" i="2"/>
  <c r="C16" i="2"/>
  <c r="C25" i="2"/>
  <c r="H24" i="2"/>
  <c r="H23" i="2"/>
  <c r="H22" i="2"/>
  <c r="H21" i="2"/>
  <c r="H20" i="2"/>
  <c r="H19" i="2"/>
  <c r="H18" i="2"/>
  <c r="H17" i="2"/>
  <c r="H15" i="2"/>
  <c r="H5" i="2"/>
  <c r="H3" i="2"/>
  <c r="H4" i="2"/>
  <c r="H11" i="2"/>
  <c r="H7" i="2"/>
  <c r="H13" i="2"/>
  <c r="H6" i="2"/>
  <c r="H10" i="2"/>
  <c r="H9" i="2"/>
  <c r="H12" i="2"/>
  <c r="H8" i="2"/>
  <c r="H26" i="2"/>
  <c r="H2" i="2"/>
  <c r="H25" i="2"/>
  <c r="H14" i="2"/>
  <c r="H24" i="3"/>
  <c r="H23" i="3"/>
  <c r="H22" i="3"/>
  <c r="H21" i="3"/>
  <c r="H20" i="3"/>
  <c r="H19" i="3"/>
  <c r="H18" i="3"/>
  <c r="H17" i="3"/>
  <c r="H15" i="3"/>
  <c r="H5" i="3"/>
  <c r="H11" i="3"/>
  <c r="H6" i="3"/>
  <c r="H7" i="3"/>
  <c r="H13" i="3"/>
  <c r="H16" i="3"/>
  <c r="H10" i="3"/>
  <c r="H9" i="3"/>
  <c r="H12" i="3"/>
  <c r="H8" i="3"/>
  <c r="H2" i="3"/>
  <c r="H26" i="3"/>
  <c r="H25" i="3"/>
  <c r="H3" i="3"/>
  <c r="H4" i="3"/>
  <c r="H14" i="3"/>
  <c r="E9" i="4" l="1"/>
  <c r="B9" i="5"/>
  <c r="C9" i="5"/>
  <c r="E9" i="5"/>
  <c r="H24" i="5"/>
  <c r="H23" i="5"/>
  <c r="H22" i="5"/>
  <c r="H21" i="5"/>
  <c r="H20" i="5"/>
  <c r="H19" i="5"/>
  <c r="H18" i="5"/>
  <c r="H17" i="5"/>
  <c r="H15" i="5"/>
  <c r="H5" i="5"/>
  <c r="H3" i="5"/>
  <c r="H4" i="5"/>
  <c r="H11" i="5"/>
  <c r="H7" i="5"/>
  <c r="H13" i="5"/>
  <c r="H6" i="5"/>
  <c r="H16" i="5"/>
  <c r="H10" i="5"/>
  <c r="H9" i="5"/>
  <c r="H12" i="5"/>
  <c r="H8" i="5"/>
  <c r="H2" i="5"/>
  <c r="H26" i="5"/>
  <c r="H25" i="5"/>
  <c r="H14" i="5"/>
  <c r="G24" i="5"/>
  <c r="G23" i="5"/>
  <c r="G22" i="5"/>
  <c r="G21" i="5"/>
  <c r="G20" i="5"/>
  <c r="G19" i="5"/>
  <c r="G18" i="5"/>
  <c r="G17" i="5"/>
  <c r="G15" i="5"/>
  <c r="G5" i="5"/>
  <c r="G3" i="5"/>
  <c r="G4" i="5"/>
  <c r="G11" i="5"/>
  <c r="G7" i="5"/>
  <c r="G13" i="5"/>
  <c r="G16" i="5"/>
  <c r="G6" i="5"/>
  <c r="G10" i="5"/>
  <c r="G9" i="5"/>
  <c r="G12" i="5"/>
  <c r="G8" i="5"/>
  <c r="G2" i="5"/>
  <c r="G26" i="5"/>
  <c r="G25" i="5"/>
  <c r="G14" i="5"/>
  <c r="G4" i="2" l="1"/>
  <c r="G3" i="2"/>
  <c r="G19" i="2"/>
  <c r="G21" i="2"/>
  <c r="G10" i="2"/>
  <c r="G8" i="2"/>
  <c r="G15" i="2"/>
  <c r="G11" i="2"/>
  <c r="G7" i="2"/>
  <c r="G5" i="2"/>
  <c r="G17" i="2"/>
  <c r="G18" i="2"/>
  <c r="G22" i="2"/>
  <c r="G16" i="2"/>
  <c r="G13" i="2"/>
  <c r="G6" i="2"/>
  <c r="G20" i="2"/>
  <c r="G9" i="2"/>
  <c r="G26" i="2"/>
  <c r="G25" i="2"/>
  <c r="G2" i="2"/>
  <c r="G12" i="2"/>
  <c r="G23" i="2"/>
  <c r="G24" i="2"/>
  <c r="G14" i="2"/>
  <c r="H2" i="4"/>
  <c r="H11" i="4"/>
  <c r="H15" i="4"/>
  <c r="H14" i="4"/>
  <c r="H16" i="4"/>
  <c r="H9" i="4"/>
  <c r="H5" i="4"/>
  <c r="H13" i="4"/>
  <c r="H12" i="4"/>
  <c r="H10" i="4"/>
  <c r="H7" i="4"/>
  <c r="H8" i="4"/>
  <c r="H20" i="4"/>
  <c r="H6" i="4"/>
  <c r="H4" i="4"/>
  <c r="H3" i="4"/>
  <c r="H26" i="4"/>
  <c r="H25" i="4"/>
  <c r="F7" i="1" l="1"/>
  <c r="F25" i="1"/>
  <c r="E25" i="1"/>
  <c r="E7" i="1"/>
  <c r="C25" i="1"/>
  <c r="C7" i="1"/>
  <c r="F7" i="2" l="1"/>
  <c r="D7" i="3"/>
  <c r="D8" i="3"/>
  <c r="D25" i="3"/>
  <c r="E7" i="3"/>
  <c r="C25" i="3"/>
  <c r="B25" i="3"/>
  <c r="G25" i="3"/>
  <c r="G7" i="3"/>
  <c r="F7" i="3"/>
  <c r="C7" i="3"/>
  <c r="B8" i="3"/>
  <c r="F8" i="3"/>
  <c r="C8" i="3"/>
  <c r="B16" i="2"/>
  <c r="B7" i="4"/>
  <c r="B9" i="4"/>
  <c r="F9" i="3"/>
  <c r="G9" i="3"/>
  <c r="D9" i="3"/>
  <c r="B9" i="3"/>
  <c r="E9" i="3"/>
  <c r="D10" i="3"/>
  <c r="D24" i="3"/>
  <c r="D23" i="3"/>
  <c r="D22" i="3"/>
  <c r="D19" i="3"/>
  <c r="D21" i="3"/>
  <c r="D18" i="3"/>
  <c r="D17" i="3"/>
  <c r="D5" i="3"/>
  <c r="D15" i="3"/>
  <c r="D3" i="3"/>
  <c r="D4" i="3"/>
  <c r="D13" i="3"/>
  <c r="D16" i="3"/>
  <c r="D20" i="3"/>
  <c r="D12" i="3"/>
  <c r="D2" i="3"/>
  <c r="D6" i="3"/>
  <c r="C26" i="3"/>
  <c r="C6" i="3"/>
  <c r="C10" i="3"/>
  <c r="D11" i="3"/>
  <c r="D14" i="3"/>
  <c r="D26" i="3"/>
  <c r="B10" i="3" l="1"/>
  <c r="E26" i="3"/>
  <c r="B26" i="3"/>
  <c r="F25" i="6"/>
  <c r="D25" i="6"/>
  <c r="G25" i="6"/>
  <c r="E25" i="6"/>
  <c r="E21" i="6"/>
  <c r="E20" i="6"/>
  <c r="G3" i="6"/>
  <c r="G16" i="6"/>
  <c r="G26" i="6"/>
  <c r="G2" i="6"/>
  <c r="G6" i="6"/>
  <c r="G20" i="6"/>
  <c r="G13" i="6"/>
  <c r="G8" i="6"/>
  <c r="G12" i="6"/>
  <c r="G9" i="6"/>
  <c r="G11" i="6"/>
  <c r="G7" i="6"/>
  <c r="G14" i="6"/>
  <c r="G5" i="6"/>
  <c r="G15" i="6"/>
  <c r="G10" i="6"/>
  <c r="G17" i="6"/>
  <c r="G18" i="6"/>
  <c r="G24" i="6"/>
  <c r="G23" i="6"/>
  <c r="G22" i="6"/>
  <c r="G21" i="6"/>
  <c r="G19" i="6"/>
  <c r="F24" i="6"/>
  <c r="F23" i="6"/>
  <c r="F22" i="6"/>
  <c r="F21" i="6"/>
  <c r="F19" i="6"/>
  <c r="F18" i="6"/>
  <c r="F17" i="6"/>
  <c r="F10" i="6"/>
  <c r="F5" i="6"/>
  <c r="F15" i="6"/>
  <c r="F3" i="6"/>
  <c r="F4" i="6"/>
  <c r="F7" i="6"/>
  <c r="F16" i="6"/>
  <c r="F11" i="6"/>
  <c r="F20" i="6"/>
  <c r="F6" i="6"/>
  <c r="F9" i="6"/>
  <c r="F12" i="6"/>
  <c r="F13" i="6"/>
  <c r="F8" i="6"/>
  <c r="F2" i="6"/>
  <c r="F26" i="6"/>
  <c r="F14" i="6"/>
  <c r="E5" i="6"/>
  <c r="E18" i="6"/>
  <c r="E13" i="6"/>
  <c r="E4" i="6"/>
  <c r="E3" i="6"/>
  <c r="E10" i="6"/>
  <c r="E17" i="6"/>
  <c r="E15" i="6"/>
  <c r="E12" i="6"/>
  <c r="E7" i="6"/>
  <c r="E16" i="6"/>
  <c r="E6" i="6"/>
  <c r="E9" i="6"/>
  <c r="E26" i="6"/>
  <c r="E2" i="6"/>
  <c r="E8" i="6"/>
  <c r="E24" i="6"/>
  <c r="E23" i="6"/>
  <c r="E22" i="6"/>
  <c r="E19" i="6"/>
  <c r="E11" i="6"/>
  <c r="E14" i="6"/>
  <c r="D18" i="6"/>
  <c r="D17" i="6"/>
  <c r="D10" i="6"/>
  <c r="D15" i="6"/>
  <c r="D4" i="6"/>
  <c r="D7" i="6"/>
  <c r="D12" i="6"/>
  <c r="D8" i="6"/>
  <c r="D2" i="6"/>
  <c r="D13" i="6"/>
  <c r="D9" i="6"/>
  <c r="D6" i="6"/>
  <c r="D16" i="6"/>
  <c r="D24" i="6"/>
  <c r="D23" i="6"/>
  <c r="D22" i="6"/>
  <c r="D21" i="6"/>
  <c r="D20" i="6"/>
  <c r="D19" i="6"/>
  <c r="D26" i="6"/>
  <c r="D11" i="6"/>
  <c r="D3" i="6"/>
  <c r="D5" i="6"/>
  <c r="D14" i="6"/>
  <c r="H13" i="6"/>
  <c r="H11" i="6"/>
  <c r="H24" i="6"/>
  <c r="H23" i="6"/>
  <c r="H22" i="6"/>
  <c r="H21" i="6"/>
  <c r="H20" i="6"/>
  <c r="H19" i="6"/>
  <c r="H18" i="6"/>
  <c r="H17" i="6"/>
  <c r="H10" i="6"/>
  <c r="H7" i="6"/>
  <c r="H16" i="6"/>
  <c r="H9" i="6"/>
  <c r="H12" i="6"/>
  <c r="H6" i="6"/>
  <c r="H8" i="6"/>
  <c r="H3" i="6"/>
  <c r="H26" i="6"/>
  <c r="H25" i="6"/>
  <c r="H2" i="6"/>
  <c r="H4" i="6"/>
  <c r="H5" i="6"/>
  <c r="H14" i="6"/>
  <c r="C24" i="6" l="1"/>
  <c r="C23" i="6"/>
  <c r="C22" i="6"/>
  <c r="C21" i="6"/>
  <c r="C20" i="6"/>
  <c r="C19" i="6"/>
  <c r="C18" i="6"/>
  <c r="C17" i="6"/>
  <c r="C2" i="6"/>
  <c r="C15" i="6"/>
  <c r="C5" i="6"/>
  <c r="C12" i="6"/>
  <c r="C8" i="6"/>
  <c r="C9" i="6"/>
  <c r="C16" i="6"/>
  <c r="C13" i="6"/>
  <c r="C7" i="6"/>
  <c r="C6" i="6"/>
  <c r="C11" i="6"/>
  <c r="C4" i="6"/>
  <c r="C3" i="6"/>
  <c r="C10" i="6"/>
  <c r="C25" i="6"/>
  <c r="C26" i="6"/>
  <c r="C14" i="6"/>
  <c r="B11" i="3" l="1"/>
  <c r="B12" i="3"/>
  <c r="F11" i="3"/>
  <c r="G19" i="3"/>
  <c r="G24" i="3"/>
  <c r="G23" i="3"/>
  <c r="G22" i="3"/>
  <c r="G21" i="3"/>
  <c r="G18" i="3"/>
  <c r="G17" i="3"/>
  <c r="G15" i="3"/>
  <c r="G12" i="3"/>
  <c r="G2" i="3"/>
  <c r="G20" i="3"/>
  <c r="G13" i="3"/>
  <c r="G5" i="3"/>
  <c r="G8" i="3"/>
  <c r="G11" i="3"/>
  <c r="G3" i="3"/>
  <c r="G4" i="3"/>
  <c r="G26" i="3" l="1"/>
  <c r="G10" i="3"/>
  <c r="G6" i="3"/>
  <c r="G16" i="3"/>
  <c r="G14" i="3"/>
  <c r="F4" i="3"/>
  <c r="F3" i="3"/>
  <c r="F5" i="3"/>
  <c r="F10" i="3"/>
  <c r="F26" i="3"/>
  <c r="F25" i="3"/>
  <c r="F2" i="3"/>
  <c r="F12" i="3"/>
  <c r="F15" i="3"/>
  <c r="F16" i="3"/>
  <c r="F13" i="3"/>
  <c r="F20" i="3"/>
  <c r="F6" i="3"/>
  <c r="F17" i="3"/>
  <c r="F18" i="3"/>
  <c r="F21" i="3"/>
  <c r="F22" i="3"/>
  <c r="F23" i="3"/>
  <c r="F24" i="3"/>
  <c r="F19" i="3"/>
  <c r="F14" i="3"/>
  <c r="E19" i="3"/>
  <c r="E24" i="3"/>
  <c r="E23" i="3"/>
  <c r="E22" i="3"/>
  <c r="E21" i="3"/>
  <c r="E18" i="3"/>
  <c r="E17" i="3"/>
  <c r="E5" i="3"/>
  <c r="E11" i="3"/>
  <c r="E13" i="3"/>
  <c r="E16" i="3"/>
  <c r="E20" i="3"/>
  <c r="E12" i="3"/>
  <c r="E2" i="3"/>
  <c r="E25" i="3"/>
  <c r="E10" i="3"/>
  <c r="E8" i="3"/>
  <c r="E6" i="3"/>
  <c r="E15" i="3"/>
  <c r="E14" i="3"/>
  <c r="E4" i="3"/>
  <c r="E3" i="3"/>
  <c r="C4" i="3"/>
  <c r="C3" i="3"/>
  <c r="C9" i="3"/>
  <c r="C2" i="3"/>
  <c r="C12" i="3"/>
  <c r="I12" i="3" s="1"/>
  <c r="C20" i="3"/>
  <c r="C16" i="3"/>
  <c r="C13" i="3"/>
  <c r="C11" i="3"/>
  <c r="I11" i="3" s="1"/>
  <c r="C15" i="3"/>
  <c r="C5" i="3"/>
  <c r="C17" i="3"/>
  <c r="C18" i="3"/>
  <c r="C21" i="3"/>
  <c r="C22" i="3"/>
  <c r="C23" i="3"/>
  <c r="C24" i="3"/>
  <c r="C19" i="3"/>
  <c r="C14" i="3"/>
  <c r="B19" i="3"/>
  <c r="B24" i="3"/>
  <c r="B23" i="3"/>
  <c r="B22" i="3"/>
  <c r="B21" i="3"/>
  <c r="B18" i="3"/>
  <c r="B17" i="3"/>
  <c r="B5" i="3"/>
  <c r="B15" i="3"/>
  <c r="B14" i="3"/>
  <c r="B3" i="3"/>
  <c r="B4" i="3"/>
  <c r="B7" i="3"/>
  <c r="B13" i="3"/>
  <c r="B16" i="3"/>
  <c r="B20" i="3"/>
  <c r="B6" i="3"/>
  <c r="B2" i="3"/>
  <c r="B24" i="6"/>
  <c r="B23" i="6"/>
  <c r="B22" i="6"/>
  <c r="B21" i="6"/>
  <c r="B19" i="6"/>
  <c r="B5" i="6"/>
  <c r="B10" i="6"/>
  <c r="B4" i="6"/>
  <c r="B12" i="6"/>
  <c r="B18" i="6"/>
  <c r="B26" i="6"/>
  <c r="B25" i="6"/>
  <c r="B20" i="6"/>
  <c r="B17" i="6"/>
  <c r="B16" i="6"/>
  <c r="B15" i="6"/>
  <c r="B14" i="6"/>
  <c r="B13" i="6"/>
  <c r="B11" i="6"/>
  <c r="B9" i="6"/>
  <c r="I9" i="6" s="1"/>
  <c r="B8" i="6"/>
  <c r="B7" i="6"/>
  <c r="B6" i="6"/>
  <c r="B3" i="6"/>
  <c r="B2" i="6"/>
  <c r="F3" i="5"/>
  <c r="F7" i="5"/>
  <c r="F15" i="5"/>
  <c r="F16" i="5"/>
  <c r="F8" i="5"/>
  <c r="F25" i="5"/>
  <c r="F26" i="5"/>
  <c r="F24" i="5"/>
  <c r="F23" i="5"/>
  <c r="F22" i="5"/>
  <c r="F21" i="5"/>
  <c r="F20" i="5"/>
  <c r="F19" i="5"/>
  <c r="F17" i="5"/>
  <c r="F18" i="5"/>
  <c r="F4" i="5"/>
  <c r="F5" i="5"/>
  <c r="F12" i="5"/>
  <c r="F13" i="5"/>
  <c r="F9" i="5"/>
  <c r="F2" i="5"/>
  <c r="F10" i="5"/>
  <c r="F11" i="5"/>
  <c r="F14" i="5"/>
  <c r="F6" i="5"/>
  <c r="E24" i="5"/>
  <c r="E23" i="5"/>
  <c r="E22" i="5"/>
  <c r="E21" i="5"/>
  <c r="E20" i="5"/>
  <c r="E19" i="5"/>
  <c r="E18" i="5"/>
  <c r="E17" i="5"/>
  <c r="E13" i="5"/>
  <c r="E5" i="5"/>
  <c r="E12" i="5"/>
  <c r="E8" i="5"/>
  <c r="E15" i="5"/>
  <c r="E16" i="5"/>
  <c r="E6" i="5"/>
  <c r="E4" i="5"/>
  <c r="E3" i="5"/>
  <c r="E7" i="5"/>
  <c r="E2" i="5"/>
  <c r="E11" i="5"/>
  <c r="E25" i="5"/>
  <c r="E26" i="5"/>
  <c r="E14" i="5"/>
  <c r="E10" i="5"/>
  <c r="D24" i="5"/>
  <c r="D23" i="5"/>
  <c r="D22" i="5"/>
  <c r="D21" i="5"/>
  <c r="D20" i="5"/>
  <c r="D19" i="5"/>
  <c r="D18" i="5"/>
  <c r="D17" i="5"/>
  <c r="D13" i="5"/>
  <c r="D5" i="5"/>
  <c r="D12" i="5"/>
  <c r="D7" i="5"/>
  <c r="D15" i="5"/>
  <c r="D16" i="5"/>
  <c r="D9" i="5"/>
  <c r="D2" i="5"/>
  <c r="D11" i="5"/>
  <c r="D14" i="5"/>
  <c r="D8" i="5"/>
  <c r="D10" i="5"/>
  <c r="D25" i="5"/>
  <c r="D26" i="5"/>
  <c r="D4" i="5"/>
  <c r="D3" i="5"/>
  <c r="D6" i="5"/>
  <c r="C6" i="5"/>
  <c r="C10" i="5"/>
  <c r="C8" i="5"/>
  <c r="C2" i="5"/>
  <c r="C16" i="5"/>
  <c r="C15" i="5"/>
  <c r="C12" i="5"/>
  <c r="C5" i="5"/>
  <c r="C13" i="5"/>
  <c r="C18" i="5"/>
  <c r="C17" i="5"/>
  <c r="C24" i="5"/>
  <c r="C23" i="5"/>
  <c r="C22" i="5"/>
  <c r="C21" i="5"/>
  <c r="C20" i="5"/>
  <c r="C19" i="5"/>
  <c r="C7" i="5"/>
  <c r="C11" i="5"/>
  <c r="C26" i="5"/>
  <c r="C25" i="5"/>
  <c r="C4" i="5"/>
  <c r="C3" i="5"/>
  <c r="C14" i="5"/>
  <c r="B24" i="5"/>
  <c r="B23" i="5"/>
  <c r="B22" i="5"/>
  <c r="B21" i="5"/>
  <c r="B19" i="5"/>
  <c r="B18" i="5"/>
  <c r="B17" i="5"/>
  <c r="B5" i="5"/>
  <c r="B7" i="5"/>
  <c r="B13" i="5"/>
  <c r="B16" i="5"/>
  <c r="B20" i="5"/>
  <c r="B6" i="5"/>
  <c r="B10" i="5"/>
  <c r="I3" i="6" l="1"/>
  <c r="I4" i="6"/>
  <c r="I21" i="6"/>
  <c r="I18" i="3"/>
  <c r="L18" i="3"/>
  <c r="K18" i="3"/>
  <c r="L24" i="5"/>
  <c r="K24" i="5"/>
  <c r="I22" i="6"/>
  <c r="I7" i="3"/>
  <c r="L7" i="3"/>
  <c r="K7" i="3"/>
  <c r="L12" i="3"/>
  <c r="L5" i="5"/>
  <c r="K5" i="5"/>
  <c r="I13" i="6"/>
  <c r="I18" i="6"/>
  <c r="I23" i="6"/>
  <c r="I4" i="3"/>
  <c r="L4" i="3"/>
  <c r="K4" i="3"/>
  <c r="I22" i="3"/>
  <c r="L22" i="3"/>
  <c r="K22" i="3"/>
  <c r="K12" i="3"/>
  <c r="L7" i="5"/>
  <c r="K7" i="5"/>
  <c r="I11" i="6"/>
  <c r="I21" i="3"/>
  <c r="L21" i="3"/>
  <c r="K21" i="3"/>
  <c r="I17" i="5"/>
  <c r="L17" i="5"/>
  <c r="K17" i="5"/>
  <c r="I14" i="6"/>
  <c r="I12" i="6"/>
  <c r="I24" i="6"/>
  <c r="I3" i="3"/>
  <c r="L3" i="3"/>
  <c r="K3" i="3"/>
  <c r="I23" i="3"/>
  <c r="L23" i="3"/>
  <c r="K23" i="3"/>
  <c r="I14" i="3"/>
  <c r="L14" i="3"/>
  <c r="K14" i="3"/>
  <c r="I6" i="5"/>
  <c r="K6" i="5"/>
  <c r="L6" i="5"/>
  <c r="L19" i="5"/>
  <c r="K19" i="5"/>
  <c r="I6" i="6"/>
  <c r="I16" i="6"/>
  <c r="I10" i="6"/>
  <c r="I6" i="3"/>
  <c r="L6" i="3"/>
  <c r="K6" i="3"/>
  <c r="I15" i="3"/>
  <c r="L15" i="3"/>
  <c r="K15" i="3"/>
  <c r="I19" i="3"/>
  <c r="L19" i="3"/>
  <c r="K19" i="3"/>
  <c r="K11" i="3"/>
  <c r="L13" i="5"/>
  <c r="K13" i="5"/>
  <c r="I23" i="5"/>
  <c r="L23" i="5"/>
  <c r="K23" i="5"/>
  <c r="I13" i="3"/>
  <c r="L13" i="3"/>
  <c r="K13" i="3"/>
  <c r="K25" i="3"/>
  <c r="L25" i="3"/>
  <c r="I10" i="5"/>
  <c r="L10" i="5"/>
  <c r="K10" i="5"/>
  <c r="L18" i="5"/>
  <c r="K18" i="5"/>
  <c r="K9" i="5"/>
  <c r="L9" i="5"/>
  <c r="I15" i="6"/>
  <c r="I20" i="5"/>
  <c r="K20" i="5"/>
  <c r="L20" i="5"/>
  <c r="L21" i="5"/>
  <c r="K21" i="5"/>
  <c r="I7" i="6"/>
  <c r="I17" i="6"/>
  <c r="I5" i="6"/>
  <c r="I20" i="3"/>
  <c r="K20" i="3"/>
  <c r="L20" i="3"/>
  <c r="I5" i="3"/>
  <c r="L5" i="3"/>
  <c r="K5" i="3"/>
  <c r="I9" i="3"/>
  <c r="K9" i="3"/>
  <c r="L9" i="3"/>
  <c r="I8" i="3"/>
  <c r="L8" i="3"/>
  <c r="K8" i="3"/>
  <c r="L11" i="3"/>
  <c r="I2" i="3"/>
  <c r="L2" i="3"/>
  <c r="K2" i="3"/>
  <c r="I24" i="3"/>
  <c r="L24" i="3"/>
  <c r="K24" i="3"/>
  <c r="L16" i="5"/>
  <c r="K16" i="5"/>
  <c r="I22" i="5"/>
  <c r="L22" i="5"/>
  <c r="K22" i="5"/>
  <c r="I8" i="6"/>
  <c r="I20" i="6"/>
  <c r="I19" i="6"/>
  <c r="I16" i="3"/>
  <c r="K16" i="3"/>
  <c r="L16" i="3"/>
  <c r="I17" i="3"/>
  <c r="K17" i="3"/>
  <c r="L17" i="3"/>
  <c r="I10" i="3"/>
  <c r="K10" i="3"/>
  <c r="L10" i="3"/>
  <c r="L26" i="3"/>
  <c r="K26" i="3"/>
  <c r="L15" i="6"/>
  <c r="K15" i="6"/>
  <c r="K11" i="6"/>
  <c r="L11" i="6"/>
  <c r="K13" i="6"/>
  <c r="L13" i="6"/>
  <c r="K24" i="6"/>
  <c r="L24" i="6"/>
  <c r="K26" i="6"/>
  <c r="L26" i="6"/>
  <c r="L18" i="6"/>
  <c r="K18" i="6"/>
  <c r="K14" i="6"/>
  <c r="L14" i="6"/>
  <c r="K12" i="6"/>
  <c r="L12" i="6"/>
  <c r="K3" i="6"/>
  <c r="L3" i="6"/>
  <c r="K4" i="6"/>
  <c r="L4" i="6"/>
  <c r="K16" i="6"/>
  <c r="L16" i="6"/>
  <c r="K10" i="6"/>
  <c r="L10" i="6"/>
  <c r="K22" i="6"/>
  <c r="L22" i="6"/>
  <c r="K7" i="6"/>
  <c r="L7" i="6"/>
  <c r="K17" i="6"/>
  <c r="L17" i="6"/>
  <c r="K5" i="6"/>
  <c r="L5" i="6"/>
  <c r="K23" i="6"/>
  <c r="L23" i="6"/>
  <c r="L2" i="6"/>
  <c r="K2" i="6"/>
  <c r="K6" i="6"/>
  <c r="L6" i="6"/>
  <c r="K8" i="6"/>
  <c r="L8" i="6"/>
  <c r="K20" i="6"/>
  <c r="L20" i="6"/>
  <c r="K19" i="6"/>
  <c r="L19" i="6"/>
  <c r="L9" i="6"/>
  <c r="K9" i="6"/>
  <c r="L25" i="6"/>
  <c r="K25" i="6"/>
  <c r="K21" i="6"/>
  <c r="L21" i="6"/>
  <c r="B12" i="5"/>
  <c r="B8" i="5"/>
  <c r="B2" i="5"/>
  <c r="B15" i="5"/>
  <c r="B11" i="5"/>
  <c r="B25" i="5"/>
  <c r="B26" i="5"/>
  <c r="B4" i="5"/>
  <c r="B14" i="5"/>
  <c r="B3" i="5"/>
  <c r="I3" i="5" l="1"/>
  <c r="K3" i="5"/>
  <c r="L3" i="5"/>
  <c r="I12" i="5"/>
  <c r="L12" i="5"/>
  <c r="K12" i="5"/>
  <c r="I8" i="5"/>
  <c r="L8" i="5"/>
  <c r="K8" i="5"/>
  <c r="L26" i="5"/>
  <c r="K26" i="5"/>
  <c r="L25" i="5"/>
  <c r="K25" i="5"/>
  <c r="I9" i="5"/>
  <c r="I5" i="5"/>
  <c r="I24" i="5"/>
  <c r="I14" i="5"/>
  <c r="K14" i="5"/>
  <c r="L14" i="5"/>
  <c r="I11" i="5"/>
  <c r="K11" i="5"/>
  <c r="L11" i="5"/>
  <c r="I16" i="5"/>
  <c r="I13" i="5"/>
  <c r="I19" i="5"/>
  <c r="I21" i="5"/>
  <c r="I4" i="5"/>
  <c r="L4" i="5"/>
  <c r="K4" i="5"/>
  <c r="I15" i="5"/>
  <c r="L15" i="5"/>
  <c r="K15" i="5"/>
  <c r="I2" i="5"/>
  <c r="L2" i="5"/>
  <c r="K2" i="5"/>
  <c r="I18" i="5"/>
  <c r="I7" i="5"/>
  <c r="F26" i="4"/>
  <c r="E26" i="4"/>
  <c r="C26" i="4"/>
  <c r="B26" i="4"/>
  <c r="B3" i="4"/>
  <c r="G19" i="4"/>
  <c r="G24" i="4"/>
  <c r="G23" i="4"/>
  <c r="G22" i="4"/>
  <c r="G21" i="4"/>
  <c r="G18" i="4"/>
  <c r="G17" i="4"/>
  <c r="G5" i="4"/>
  <c r="G15" i="4"/>
  <c r="G13" i="4"/>
  <c r="G26" i="4"/>
  <c r="G25" i="4"/>
  <c r="G2" i="4"/>
  <c r="G10" i="4"/>
  <c r="G6" i="4"/>
  <c r="G9" i="4"/>
  <c r="G12" i="4"/>
  <c r="G14" i="4"/>
  <c r="G8" i="4"/>
  <c r="G16" i="4"/>
  <c r="G7" i="4"/>
  <c r="G20" i="4"/>
  <c r="G11" i="4"/>
  <c r="G3" i="4"/>
  <c r="G4" i="4"/>
  <c r="F11" i="4"/>
  <c r="F19" i="4"/>
  <c r="F24" i="4"/>
  <c r="F23" i="4"/>
  <c r="F22" i="4"/>
  <c r="F21" i="4"/>
  <c r="F18" i="4"/>
  <c r="F17" i="4"/>
  <c r="F20" i="4"/>
  <c r="F25" i="4"/>
  <c r="F16" i="4"/>
  <c r="F13" i="4"/>
  <c r="F15" i="4"/>
  <c r="F10" i="4"/>
  <c r="F5" i="4"/>
  <c r="F3" i="4"/>
  <c r="F4" i="4"/>
  <c r="F7" i="4"/>
  <c r="F14" i="4"/>
  <c r="F8" i="4"/>
  <c r="F12" i="4"/>
  <c r="F9" i="4"/>
  <c r="F2" i="4"/>
  <c r="F6" i="4"/>
  <c r="E3" i="4"/>
  <c r="E12" i="4"/>
  <c r="E8" i="4"/>
  <c r="E20" i="4"/>
  <c r="E10" i="4"/>
  <c r="E5" i="4"/>
  <c r="E15" i="4"/>
  <c r="E4" i="4"/>
  <c r="E2" i="4"/>
  <c r="E25" i="4"/>
  <c r="E7" i="4"/>
  <c r="E16" i="4"/>
  <c r="E11" i="4"/>
  <c r="E13" i="4"/>
  <c r="E17" i="4"/>
  <c r="E18" i="4"/>
  <c r="E22" i="4"/>
  <c r="E23" i="4"/>
  <c r="E21" i="4"/>
  <c r="E24" i="4"/>
  <c r="E19" i="4"/>
  <c r="E6" i="4"/>
  <c r="E14" i="4"/>
  <c r="D24" i="4"/>
  <c r="D23" i="4"/>
  <c r="D22" i="4"/>
  <c r="D21" i="4"/>
  <c r="D20" i="4"/>
  <c r="D19" i="4"/>
  <c r="D18" i="4"/>
  <c r="D17" i="4"/>
  <c r="D6" i="4"/>
  <c r="D13" i="4"/>
  <c r="D7" i="4"/>
  <c r="D9" i="4"/>
  <c r="D12" i="4"/>
  <c r="D16" i="4"/>
  <c r="D15" i="4"/>
  <c r="D5" i="4"/>
  <c r="D11" i="4"/>
  <c r="D8" i="4"/>
  <c r="D2" i="4"/>
  <c r="D26" i="4"/>
  <c r="D25" i="4"/>
  <c r="D10" i="4"/>
  <c r="D3" i="4"/>
  <c r="D14" i="4"/>
  <c r="D4" i="4"/>
  <c r="B8" i="4"/>
  <c r="B5" i="4"/>
  <c r="B14" i="4"/>
  <c r="B2" i="4"/>
  <c r="B6" i="4"/>
  <c r="B4" i="4"/>
  <c r="C18" i="4"/>
  <c r="C10" i="4"/>
  <c r="C17" i="4"/>
  <c r="C11" i="4"/>
  <c r="C13" i="4"/>
  <c r="C15" i="4"/>
  <c r="C16" i="4"/>
  <c r="C6" i="4"/>
  <c r="C9" i="4"/>
  <c r="C8" i="4"/>
  <c r="C7" i="4"/>
  <c r="C2" i="4"/>
  <c r="C5" i="4"/>
  <c r="C3" i="4"/>
  <c r="C25" i="4"/>
  <c r="I5" i="4" l="1"/>
  <c r="L5" i="4"/>
  <c r="K5" i="4"/>
  <c r="K2" i="4"/>
  <c r="L2" i="4"/>
  <c r="K7" i="4"/>
  <c r="L7" i="4"/>
  <c r="K8" i="4"/>
  <c r="L8" i="4"/>
  <c r="K9" i="4"/>
  <c r="L9" i="4"/>
  <c r="I4" i="4"/>
  <c r="L4" i="4"/>
  <c r="I3" i="4"/>
  <c r="L3" i="4"/>
  <c r="K3" i="4"/>
  <c r="L6" i="4"/>
  <c r="K6" i="4"/>
  <c r="K26" i="4"/>
  <c r="L26" i="4"/>
  <c r="C4" i="4"/>
  <c r="K4" i="4" s="1"/>
  <c r="C14" i="4"/>
  <c r="L14" i="4" s="1"/>
  <c r="C12" i="4"/>
  <c r="C24" i="4"/>
  <c r="C23" i="4"/>
  <c r="C22" i="4"/>
  <c r="C21" i="4"/>
  <c r="C20" i="4"/>
  <c r="C19" i="4"/>
  <c r="B24" i="4"/>
  <c r="B23" i="4"/>
  <c r="B22" i="4"/>
  <c r="B19" i="4"/>
  <c r="B21" i="4"/>
  <c r="B18" i="4"/>
  <c r="B17" i="4"/>
  <c r="B10" i="4"/>
  <c r="B15" i="4"/>
  <c r="B16" i="4"/>
  <c r="B13" i="4"/>
  <c r="B20" i="4"/>
  <c r="B11" i="4"/>
  <c r="B12" i="4"/>
  <c r="B25" i="4"/>
  <c r="F19" i="2"/>
  <c r="F24" i="2"/>
  <c r="F23" i="2"/>
  <c r="F22" i="2"/>
  <c r="F21" i="2"/>
  <c r="F18" i="2"/>
  <c r="F17" i="2"/>
  <c r="F10" i="2"/>
  <c r="F5" i="2"/>
  <c r="F15" i="2"/>
  <c r="F14" i="2"/>
  <c r="F12" i="2"/>
  <c r="F8" i="2"/>
  <c r="F3" i="2"/>
  <c r="F4" i="2"/>
  <c r="F9" i="2"/>
  <c r="F20" i="2"/>
  <c r="F6" i="2"/>
  <c r="F11" i="2"/>
  <c r="F13" i="2"/>
  <c r="F16" i="2"/>
  <c r="F2" i="2"/>
  <c r="F26" i="2"/>
  <c r="F25" i="2"/>
  <c r="E19" i="2"/>
  <c r="E24" i="2"/>
  <c r="E23" i="2"/>
  <c r="E22" i="2"/>
  <c r="E21" i="2"/>
  <c r="E18" i="2"/>
  <c r="E17" i="2"/>
  <c r="E10" i="2"/>
  <c r="E5" i="2"/>
  <c r="E15" i="2"/>
  <c r="E4" i="2"/>
  <c r="E11" i="2"/>
  <c r="E7" i="2"/>
  <c r="E13" i="2"/>
  <c r="E8" i="2"/>
  <c r="E2" i="2"/>
  <c r="E12" i="2"/>
  <c r="E9" i="2"/>
  <c r="E6" i="2"/>
  <c r="E3" i="2"/>
  <c r="E26" i="2"/>
  <c r="E14" i="2"/>
  <c r="E20" i="2"/>
  <c r="D19" i="2"/>
  <c r="D7" i="2"/>
  <c r="D17" i="2"/>
  <c r="D24" i="2"/>
  <c r="D23" i="2"/>
  <c r="D22" i="2"/>
  <c r="D21" i="2"/>
  <c r="D18" i="2"/>
  <c r="D5" i="2"/>
  <c r="D14" i="2"/>
  <c r="D11" i="2"/>
  <c r="D15" i="2"/>
  <c r="D13" i="2"/>
  <c r="D20" i="2"/>
  <c r="D9" i="2"/>
  <c r="D12" i="2"/>
  <c r="D8" i="2"/>
  <c r="D2" i="2"/>
  <c r="D10" i="2"/>
  <c r="D6" i="2"/>
  <c r="D4" i="2"/>
  <c r="D3" i="2"/>
  <c r="D26" i="2"/>
  <c r="I11" i="4" l="1"/>
  <c r="K11" i="4"/>
  <c r="L11" i="4"/>
  <c r="I21" i="4"/>
  <c r="K21" i="4"/>
  <c r="L21" i="4"/>
  <c r="K25" i="4"/>
  <c r="L25" i="4"/>
  <c r="I9" i="4"/>
  <c r="I7" i="4"/>
  <c r="I17" i="4"/>
  <c r="L17" i="4"/>
  <c r="K17" i="4"/>
  <c r="K14" i="4"/>
  <c r="I12" i="4"/>
  <c r="K12" i="4"/>
  <c r="L12" i="4"/>
  <c r="I18" i="4"/>
  <c r="K18" i="4"/>
  <c r="L18" i="4"/>
  <c r="I6" i="4"/>
  <c r="I14" i="4"/>
  <c r="K16" i="2"/>
  <c r="L16" i="2"/>
  <c r="I20" i="4"/>
  <c r="K20" i="4"/>
  <c r="L20" i="4"/>
  <c r="I19" i="4"/>
  <c r="K19" i="4"/>
  <c r="L19" i="4"/>
  <c r="I15" i="4"/>
  <c r="L15" i="4"/>
  <c r="K15" i="4"/>
  <c r="I10" i="4"/>
  <c r="K10" i="4"/>
  <c r="L10" i="4"/>
  <c r="I13" i="4"/>
  <c r="K13" i="4"/>
  <c r="L13" i="4"/>
  <c r="I24" i="4"/>
  <c r="K24" i="4"/>
  <c r="L24" i="4"/>
  <c r="I22" i="4"/>
  <c r="K22" i="4"/>
  <c r="L22" i="4"/>
  <c r="I8" i="4"/>
  <c r="I2" i="4"/>
  <c r="I16" i="4"/>
  <c r="K16" i="4"/>
  <c r="L16" i="4"/>
  <c r="I23" i="4"/>
  <c r="K23" i="4"/>
  <c r="L23" i="4"/>
  <c r="C19" i="2"/>
  <c r="C24" i="2"/>
  <c r="C23" i="2"/>
  <c r="C22" i="2"/>
  <c r="C21" i="2"/>
  <c r="C18" i="2"/>
  <c r="C13" i="2"/>
  <c r="C20" i="2"/>
  <c r="C8" i="2"/>
  <c r="C12" i="2"/>
  <c r="C17" i="2"/>
  <c r="C7" i="2"/>
  <c r="C5" i="2"/>
  <c r="C2" i="2"/>
  <c r="C9" i="2"/>
  <c r="C26" i="2"/>
  <c r="C14" i="2"/>
  <c r="C6" i="2"/>
  <c r="C15" i="2"/>
  <c r="C11" i="2"/>
  <c r="C4" i="2"/>
  <c r="C3" i="2"/>
  <c r="C10" i="2"/>
  <c r="B10" i="1" l="1"/>
  <c r="B9" i="1"/>
  <c r="B8" i="1"/>
  <c r="B7" i="1"/>
  <c r="B6" i="1"/>
  <c r="B5" i="1"/>
  <c r="B20" i="1"/>
  <c r="B2" i="1"/>
  <c r="B4" i="1"/>
  <c r="B19" i="1"/>
  <c r="B24" i="1"/>
  <c r="B25" i="1"/>
  <c r="B23" i="1"/>
  <c r="B22" i="1"/>
  <c r="B21" i="1"/>
  <c r="B18" i="1"/>
  <c r="B17" i="1"/>
  <c r="B16" i="1"/>
  <c r="B15" i="1"/>
  <c r="B14" i="1"/>
  <c r="B13" i="1"/>
  <c r="B12" i="1"/>
  <c r="B26" i="1"/>
  <c r="I22" i="1"/>
  <c r="I19" i="1"/>
  <c r="I23" i="1"/>
  <c r="I24" i="1"/>
  <c r="I20" i="1"/>
  <c r="I21" i="1"/>
  <c r="I9" i="1"/>
  <c r="I2" i="1"/>
  <c r="I7" i="1"/>
  <c r="I12" i="1"/>
  <c r="I6" i="1"/>
  <c r="I11" i="1"/>
  <c r="I15" i="1"/>
  <c r="I5" i="1"/>
  <c r="I4" i="1"/>
  <c r="I17" i="1"/>
  <c r="I18" i="1"/>
  <c r="I8" i="1"/>
  <c r="I26" i="1"/>
  <c r="I10" i="1"/>
  <c r="I25" i="1"/>
  <c r="I13" i="1"/>
  <c r="I3" i="1"/>
  <c r="I16" i="1"/>
  <c r="I14" i="1"/>
  <c r="H15" i="1"/>
  <c r="H2" i="1"/>
  <c r="H12" i="1"/>
  <c r="H6" i="1"/>
  <c r="H16" i="1"/>
  <c r="H13" i="1"/>
  <c r="H5" i="1"/>
  <c r="H17" i="1"/>
  <c r="H18" i="1"/>
  <c r="H14" i="1"/>
  <c r="H11" i="1"/>
  <c r="H22" i="1"/>
  <c r="H20" i="1"/>
  <c r="H19" i="1"/>
  <c r="H23" i="1"/>
  <c r="H21" i="1"/>
  <c r="H24" i="1"/>
  <c r="H26" i="1"/>
  <c r="H25" i="1"/>
  <c r="H10" i="1"/>
  <c r="H9" i="1"/>
  <c r="H8" i="1"/>
  <c r="H7" i="1"/>
  <c r="H3" i="1"/>
  <c r="H4" i="1"/>
  <c r="J24" i="1"/>
  <c r="J23" i="1"/>
  <c r="J22" i="1"/>
  <c r="J21" i="1"/>
  <c r="J18" i="1"/>
  <c r="J17" i="1"/>
  <c r="J10" i="1"/>
  <c r="J5" i="1"/>
  <c r="J15" i="1"/>
  <c r="J4" i="1"/>
  <c r="J3" i="1"/>
  <c r="J11" i="1"/>
  <c r="J7" i="1"/>
  <c r="J13" i="1"/>
  <c r="J16" i="1"/>
  <c r="J9" i="1"/>
  <c r="J6" i="1"/>
  <c r="J12" i="1"/>
  <c r="J8" i="1"/>
  <c r="J2" i="1"/>
  <c r="J25" i="1"/>
  <c r="J26" i="1"/>
  <c r="J14" i="1"/>
  <c r="D26" i="1" l="1"/>
  <c r="D25" i="1"/>
  <c r="D5" i="1"/>
  <c r="D15" i="1"/>
  <c r="D17" i="1"/>
  <c r="D12" i="1"/>
  <c r="D8" i="1"/>
  <c r="D20" i="1"/>
  <c r="D16" i="1"/>
  <c r="D13" i="1"/>
  <c r="D7" i="1"/>
  <c r="D11" i="1"/>
  <c r="D10" i="1"/>
  <c r="D9" i="1"/>
  <c r="D2" i="1"/>
  <c r="D4" i="1"/>
  <c r="D3" i="1"/>
  <c r="D14" i="1"/>
  <c r="D19" i="1"/>
  <c r="D24" i="1"/>
  <c r="D23" i="1"/>
  <c r="D22" i="1"/>
  <c r="D21" i="1"/>
  <c r="D18" i="1"/>
  <c r="D6" i="1"/>
  <c r="E2" i="1" l="1"/>
  <c r="C2" i="1"/>
  <c r="C26" i="1"/>
  <c r="C8" i="1"/>
  <c r="C12" i="1"/>
  <c r="C9" i="1"/>
  <c r="C6" i="1"/>
  <c r="C16" i="1"/>
  <c r="C13" i="1"/>
  <c r="C11" i="1"/>
  <c r="C3" i="1"/>
  <c r="C4" i="1"/>
  <c r="C14" i="1"/>
  <c r="C15" i="1"/>
  <c r="C5" i="1"/>
  <c r="C10" i="1"/>
  <c r="C17" i="1"/>
  <c r="C18" i="1"/>
  <c r="C21" i="1"/>
  <c r="C22" i="1"/>
  <c r="C23" i="1"/>
  <c r="C19" i="1"/>
  <c r="C24" i="1"/>
  <c r="C20" i="1"/>
  <c r="G4" i="1"/>
  <c r="G17" i="1"/>
  <c r="G24" i="1"/>
  <c r="G18" i="1"/>
  <c r="G6" i="1"/>
  <c r="G10" i="1"/>
  <c r="G25" i="1"/>
  <c r="G9" i="1"/>
  <c r="G12" i="1"/>
  <c r="G8" i="1"/>
  <c r="G23" i="1"/>
  <c r="G22" i="1"/>
  <c r="G21" i="1"/>
  <c r="G19" i="1"/>
  <c r="G20" i="1"/>
  <c r="G13" i="1"/>
  <c r="G7" i="1"/>
  <c r="N7" i="1" s="1"/>
  <c r="G16" i="1"/>
  <c r="G5" i="1"/>
  <c r="G26" i="1"/>
  <c r="G3" i="1"/>
  <c r="G2" i="1"/>
  <c r="G11" i="1"/>
  <c r="G15" i="1"/>
  <c r="G14" i="1"/>
  <c r="F24" i="1"/>
  <c r="F23" i="1"/>
  <c r="F22" i="1"/>
  <c r="F21" i="1"/>
  <c r="F19" i="1"/>
  <c r="F18" i="1"/>
  <c r="F17" i="1"/>
  <c r="F5" i="1"/>
  <c r="F15" i="1"/>
  <c r="F4" i="1"/>
  <c r="F3" i="1"/>
  <c r="F6" i="1"/>
  <c r="F8" i="1"/>
  <c r="M25" i="1" l="1"/>
  <c r="K7" i="1"/>
  <c r="K2" i="1"/>
  <c r="M7" i="1"/>
  <c r="N25" i="1"/>
  <c r="F2" i="1"/>
  <c r="N2" i="1" s="1"/>
  <c r="F12" i="1"/>
  <c r="F14" i="1"/>
  <c r="F10" i="1"/>
  <c r="F9" i="1"/>
  <c r="F13" i="1"/>
  <c r="F20" i="1"/>
  <c r="F26" i="1"/>
  <c r="F16" i="1"/>
  <c r="F11" i="1"/>
  <c r="M2" i="1" l="1"/>
  <c r="B19" i="2"/>
  <c r="B24" i="2"/>
  <c r="B23" i="2"/>
  <c r="B22" i="2"/>
  <c r="B21" i="2"/>
  <c r="B18" i="2"/>
  <c r="B17" i="2"/>
  <c r="B10" i="2"/>
  <c r="B5" i="2"/>
  <c r="B15" i="2"/>
  <c r="B7" i="2"/>
  <c r="B13" i="2"/>
  <c r="B20" i="2"/>
  <c r="B6" i="2"/>
  <c r="B12" i="2"/>
  <c r="B8" i="2"/>
  <c r="B4" i="2"/>
  <c r="B14" i="2"/>
  <c r="B9" i="2"/>
  <c r="B2" i="2"/>
  <c r="B3" i="2"/>
  <c r="B11" i="2"/>
  <c r="B26" i="2"/>
  <c r="B25" i="2"/>
  <c r="E19" i="1"/>
  <c r="K19" i="1" s="1"/>
  <c r="E24" i="1"/>
  <c r="K24" i="1" s="1"/>
  <c r="E23" i="1"/>
  <c r="K23" i="1" s="1"/>
  <c r="E22" i="1"/>
  <c r="K22" i="1" s="1"/>
  <c r="E21" i="1"/>
  <c r="K21" i="1" s="1"/>
  <c r="E18" i="1"/>
  <c r="E17" i="1"/>
  <c r="K17" i="1" s="1"/>
  <c r="E10" i="1"/>
  <c r="E5" i="1"/>
  <c r="K5" i="1" s="1"/>
  <c r="E3" i="1"/>
  <c r="K3" i="1" s="1"/>
  <c r="E15" i="1"/>
  <c r="K15" i="1" s="1"/>
  <c r="E4" i="1"/>
  <c r="K4" i="1" s="1"/>
  <c r="E11" i="1"/>
  <c r="E13" i="1"/>
  <c r="K13" i="1" s="1"/>
  <c r="E14" i="1"/>
  <c r="K14" i="1" s="1"/>
  <c r="E26" i="1"/>
  <c r="E8" i="1"/>
  <c r="K8" i="1" s="1"/>
  <c r="E12" i="1"/>
  <c r="K12" i="1" s="1"/>
  <c r="E9" i="1"/>
  <c r="K9" i="1" s="1"/>
  <c r="E6" i="1"/>
  <c r="K6" i="1" s="1"/>
  <c r="E20" i="1"/>
  <c r="K20" i="1" s="1"/>
  <c r="E16" i="1"/>
  <c r="K16" i="1" s="1"/>
  <c r="L26" i="2" l="1"/>
  <c r="K26" i="2"/>
  <c r="K12" i="2"/>
  <c r="L12" i="2"/>
  <c r="I12" i="2"/>
  <c r="L17" i="2"/>
  <c r="K17" i="2"/>
  <c r="I17" i="2"/>
  <c r="K18" i="1"/>
  <c r="K11" i="2"/>
  <c r="L11" i="2"/>
  <c r="I11" i="2"/>
  <c r="L6" i="2"/>
  <c r="K6" i="2"/>
  <c r="I6" i="2"/>
  <c r="K18" i="2"/>
  <c r="L18" i="2"/>
  <c r="I18" i="2"/>
  <c r="K21" i="2"/>
  <c r="L21" i="2"/>
  <c r="I21" i="2"/>
  <c r="I2" i="2"/>
  <c r="K2" i="2"/>
  <c r="L2" i="2"/>
  <c r="L13" i="2"/>
  <c r="K13" i="2"/>
  <c r="I13" i="2"/>
  <c r="L22" i="2"/>
  <c r="K22" i="2"/>
  <c r="I22" i="2"/>
  <c r="L9" i="2"/>
  <c r="K9" i="2"/>
  <c r="I9" i="2"/>
  <c r="L7" i="2"/>
  <c r="K7" i="2"/>
  <c r="I7" i="2"/>
  <c r="L23" i="2"/>
  <c r="K23" i="2"/>
  <c r="I23" i="2"/>
  <c r="K3" i="2"/>
  <c r="L3" i="2"/>
  <c r="I3" i="2"/>
  <c r="L14" i="2"/>
  <c r="K14" i="2"/>
  <c r="I14" i="2"/>
  <c r="L15" i="2"/>
  <c r="K15" i="2"/>
  <c r="I15" i="2"/>
  <c r="L24" i="2"/>
  <c r="K24" i="2"/>
  <c r="I24" i="2"/>
  <c r="K4" i="2"/>
  <c r="L4" i="2"/>
  <c r="I4" i="2"/>
  <c r="L5" i="2"/>
  <c r="K5" i="2"/>
  <c r="I5" i="2"/>
  <c r="K19" i="2"/>
  <c r="L19" i="2"/>
  <c r="I19" i="2"/>
  <c r="K20" i="2"/>
  <c r="L20" i="2"/>
  <c r="I20" i="2"/>
  <c r="K10" i="1"/>
  <c r="L25" i="2"/>
  <c r="K25" i="2"/>
  <c r="I16" i="2"/>
  <c r="L8" i="2"/>
  <c r="K8" i="2"/>
  <c r="I8" i="2"/>
  <c r="K10" i="2"/>
  <c r="I10" i="2"/>
  <c r="L10" i="2"/>
  <c r="M19" i="1"/>
  <c r="N19" i="1"/>
  <c r="M20" i="1"/>
  <c r="N20" i="1"/>
  <c r="M18" i="1"/>
  <c r="N18" i="1"/>
  <c r="M6" i="1"/>
  <c r="N6" i="1"/>
  <c r="M16" i="1"/>
  <c r="N16" i="1"/>
  <c r="N12" i="1"/>
  <c r="M12" i="1"/>
  <c r="M21" i="1"/>
  <c r="N21" i="1"/>
  <c r="N22" i="1"/>
  <c r="M22" i="1"/>
  <c r="N15" i="1"/>
  <c r="M15" i="1"/>
  <c r="M3" i="1"/>
  <c r="N3" i="1"/>
  <c r="M5" i="1"/>
  <c r="N5" i="1"/>
  <c r="M13" i="1"/>
  <c r="N13" i="1"/>
  <c r="M4" i="1"/>
  <c r="N4" i="1"/>
  <c r="N9" i="1"/>
  <c r="M9" i="1"/>
  <c r="N23" i="1"/>
  <c r="M23" i="1"/>
  <c r="N24" i="1"/>
  <c r="M24" i="1"/>
  <c r="N8" i="1"/>
  <c r="M8" i="1"/>
  <c r="N26" i="1"/>
  <c r="M26" i="1"/>
  <c r="N10" i="1"/>
  <c r="M10" i="1"/>
  <c r="N14" i="1"/>
  <c r="M14" i="1"/>
  <c r="N17" i="1"/>
  <c r="M17" i="1"/>
  <c r="B11" i="1" l="1"/>
  <c r="K11" i="1" s="1"/>
  <c r="N11" i="1" l="1"/>
  <c r="M11" i="1"/>
</calcChain>
</file>

<file path=xl/sharedStrings.xml><?xml version="1.0" encoding="utf-8"?>
<sst xmlns="http://schemas.openxmlformats.org/spreadsheetml/2006/main" count="382" uniqueCount="58">
  <si>
    <t>Rep1</t>
  </si>
  <si>
    <t>Rep2</t>
  </si>
  <si>
    <t>Rep3</t>
  </si>
  <si>
    <t>-</t>
  </si>
  <si>
    <t>Rep4</t>
  </si>
  <si>
    <t>Rep5</t>
  </si>
  <si>
    <t>SOLV</t>
  </si>
  <si>
    <t>Rep6</t>
  </si>
  <si>
    <t>Rep7</t>
  </si>
  <si>
    <t>Rep8</t>
  </si>
  <si>
    <t>Rep9</t>
  </si>
  <si>
    <t>significance</t>
  </si>
  <si>
    <t>AVERAGE</t>
  </si>
  <si>
    <t>Std.Err.</t>
  </si>
  <si>
    <t>Average</t>
  </si>
  <si>
    <t>Significance</t>
  </si>
  <si>
    <t xml:space="preserve">Phenylacetaldehyde (ac4) </t>
  </si>
  <si>
    <t>3-octanol (ac3)</t>
  </si>
  <si>
    <t>Pyridine (ac2)</t>
  </si>
  <si>
    <t>Cadaverine (ac2)</t>
  </si>
  <si>
    <t>Spermidine (ac2)</t>
  </si>
  <si>
    <t>Putrescine (ac2)</t>
  </si>
  <si>
    <t>Pyrrolidine (ac1/ac2/ac4)</t>
  </si>
  <si>
    <t>Dimethylamine (ac1/ac4)</t>
  </si>
  <si>
    <t>Triethylamine</t>
  </si>
  <si>
    <t>Benzaldehyde</t>
  </si>
  <si>
    <t>Formic acid</t>
  </si>
  <si>
    <t>Propionic acid</t>
  </si>
  <si>
    <t>Butanoic acid</t>
  </si>
  <si>
    <t>Hexanoic acid</t>
  </si>
  <si>
    <t>Solvent - Ethanol</t>
  </si>
  <si>
    <t>Solvent - Water</t>
  </si>
  <si>
    <t>Spikes/0.5sec</t>
  </si>
  <si>
    <t>Beta citronellol</t>
  </si>
  <si>
    <t>Ammonium hydroxide (ac1/ac4)</t>
  </si>
  <si>
    <t>Rep 2</t>
  </si>
  <si>
    <t>Hexylamine</t>
  </si>
  <si>
    <t>Acetic acid (ac2)</t>
  </si>
  <si>
    <t>Ammonia (ac1/ac4)</t>
  </si>
  <si>
    <t>Ammonia (ac1(ac4)</t>
  </si>
  <si>
    <t xml:space="preserve">SOLV </t>
  </si>
  <si>
    <t>Wicoxon</t>
  </si>
  <si>
    <t>Paired T.Test</t>
  </si>
  <si>
    <t>Two-Sample T-Test VS Oregon</t>
  </si>
  <si>
    <t>Mann-Whitney U-Test VS Oregon</t>
  </si>
  <si>
    <t>&lt;0,0001</t>
  </si>
  <si>
    <t>Phenylacetic acid (ac4)</t>
  </si>
  <si>
    <t>2-phenylethylamine (ac1/ac4)</t>
  </si>
  <si>
    <t>Octanoic acid</t>
  </si>
  <si>
    <t>&gt;0,9999</t>
  </si>
  <si>
    <t>Mann-Whitney U-Test VS IR75dKO</t>
  </si>
  <si>
    <t>Two-Sample T-Test VS IR75dKO</t>
  </si>
  <si>
    <t>Two-Sample T-Test VS IR84aKO</t>
  </si>
  <si>
    <t>Mann-Whitney U-Test VS IR84aKO</t>
  </si>
  <si>
    <t>***</t>
  </si>
  <si>
    <t>SOLV vs SOLV</t>
  </si>
  <si>
    <t xml:space="preserve">SOLV VS SOLV </t>
  </si>
  <si>
    <t>Butylamine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</si>
</sst>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164" fontId="6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5" fontId="7" fillId="0" borderId="0" xfId="0" applyNumberFormat="1" applyFont="1"/>
    <xf numFmtId="165" fontId="6" fillId="0" borderId="0" xfId="0" applyNumberFormat="1" applyFont="1"/>
    <xf numFmtId="0" fontId="0" fillId="9" borderId="0" xfId="0" applyFill="1"/>
    <xf numFmtId="0" fontId="1" fillId="6" borderId="0" xfId="0" applyFont="1" applyFill="1"/>
    <xf numFmtId="164" fontId="0" fillId="0" borderId="0" xfId="0" applyNumberFormat="1"/>
    <xf numFmtId="164" fontId="0" fillId="4" borderId="0" xfId="0" applyNumberFormat="1" applyFill="1"/>
    <xf numFmtId="164" fontId="0" fillId="2" borderId="0" xfId="0" applyNumberFormat="1" applyFill="1"/>
    <xf numFmtId="164" fontId="0" fillId="8" borderId="0" xfId="0" applyNumberFormat="1" applyFill="1"/>
    <xf numFmtId="164" fontId="0" fillId="9" borderId="0" xfId="0" applyNumberFormat="1" applyFill="1"/>
    <xf numFmtId="164" fontId="0" fillId="3" borderId="0" xfId="0" applyNumberFormat="1" applyFill="1"/>
    <xf numFmtId="164" fontId="0" fillId="6" borderId="0" xfId="0" applyNumberFormat="1" applyFill="1"/>
    <xf numFmtId="164" fontId="8" fillId="6" borderId="0" xfId="0" applyNumberFormat="1" applyFont="1" applyFill="1"/>
    <xf numFmtId="164" fontId="0" fillId="5" borderId="0" xfId="0" applyNumberFormat="1" applyFill="1"/>
    <xf numFmtId="164" fontId="0" fillId="7" borderId="0" xfId="0" applyNumberFormat="1" applyFill="1"/>
    <xf numFmtId="0" fontId="1" fillId="2" borderId="0" xfId="0" applyFont="1" applyFill="1"/>
    <xf numFmtId="0" fontId="1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CCFF"/>
      <color rgb="FF66FF33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'Oregon - WT'!$L$2:$L$26</c:f>
                <c:numCache>
                  <c:formatCode>General</c:formatCode>
                  <c:ptCount val="25"/>
                  <c:pt idx="0">
                    <c:v>1.6261747890200617</c:v>
                  </c:pt>
                  <c:pt idx="1">
                    <c:v>2.2211108331943579</c:v>
                  </c:pt>
                  <c:pt idx="2">
                    <c:v>2.2570876022973603</c:v>
                  </c:pt>
                  <c:pt idx="3">
                    <c:v>2.6677081299622469</c:v>
                  </c:pt>
                  <c:pt idx="4">
                    <c:v>7.7002885948803526</c:v>
                  </c:pt>
                  <c:pt idx="5">
                    <c:v>3.3507876354340596</c:v>
                  </c:pt>
                  <c:pt idx="6">
                    <c:v>4.5946829173634072</c:v>
                  </c:pt>
                  <c:pt idx="7">
                    <c:v>1.2315302134607444</c:v>
                  </c:pt>
                  <c:pt idx="8">
                    <c:v>9.6830321238293511</c:v>
                  </c:pt>
                  <c:pt idx="9">
                    <c:v>8.522193249262644</c:v>
                  </c:pt>
                  <c:pt idx="10">
                    <c:v>1.4981470036162823</c:v>
                  </c:pt>
                  <c:pt idx="11">
                    <c:v>2.155097316699282</c:v>
                  </c:pt>
                  <c:pt idx="12">
                    <c:v>6.6503968135576548</c:v>
                  </c:pt>
                  <c:pt idx="13">
                    <c:v>5.5176484524156164</c:v>
                  </c:pt>
                  <c:pt idx="14">
                    <c:v>7.3865493372149844</c:v>
                  </c:pt>
                  <c:pt idx="15">
                    <c:v>2.7658633371878665</c:v>
                  </c:pt>
                  <c:pt idx="16">
                    <c:v>3.640054944640259</c:v>
                  </c:pt>
                  <c:pt idx="17">
                    <c:v>2.6791375063213492</c:v>
                  </c:pt>
                  <c:pt idx="18">
                    <c:v>4.0414518843273806</c:v>
                  </c:pt>
                  <c:pt idx="19">
                    <c:v>3.5308167138307631</c:v>
                  </c:pt>
                  <c:pt idx="20">
                    <c:v>1.6616591440819359</c:v>
                  </c:pt>
                  <c:pt idx="21">
                    <c:v>1.0954451150103324</c:v>
                  </c:pt>
                  <c:pt idx="22">
                    <c:v>1.3080944580232392</c:v>
                  </c:pt>
                  <c:pt idx="23">
                    <c:v>1.4700718047466632</c:v>
                  </c:pt>
                  <c:pt idx="24">
                    <c:v>1.1254628677422756</c:v>
                  </c:pt>
                </c:numCache>
              </c:numRef>
            </c:plus>
            <c:minus>
              <c:numRef>
                <c:f>'Oregon - WT'!$L$2:$L$26</c:f>
                <c:numCache>
                  <c:formatCode>General</c:formatCode>
                  <c:ptCount val="25"/>
                  <c:pt idx="0">
                    <c:v>1.6261747890200617</c:v>
                  </c:pt>
                  <c:pt idx="1">
                    <c:v>2.2211108331943579</c:v>
                  </c:pt>
                  <c:pt idx="2">
                    <c:v>2.2570876022973603</c:v>
                  </c:pt>
                  <c:pt idx="3">
                    <c:v>2.6677081299622469</c:v>
                  </c:pt>
                  <c:pt idx="4">
                    <c:v>7.7002885948803526</c:v>
                  </c:pt>
                  <c:pt idx="5">
                    <c:v>3.3507876354340596</c:v>
                  </c:pt>
                  <c:pt idx="6">
                    <c:v>4.5946829173634072</c:v>
                  </c:pt>
                  <c:pt idx="7">
                    <c:v>1.2315302134607444</c:v>
                  </c:pt>
                  <c:pt idx="8">
                    <c:v>9.6830321238293511</c:v>
                  </c:pt>
                  <c:pt idx="9">
                    <c:v>8.522193249262644</c:v>
                  </c:pt>
                  <c:pt idx="10">
                    <c:v>1.4981470036162823</c:v>
                  </c:pt>
                  <c:pt idx="11">
                    <c:v>2.155097316699282</c:v>
                  </c:pt>
                  <c:pt idx="12">
                    <c:v>6.6503968135576548</c:v>
                  </c:pt>
                  <c:pt idx="13">
                    <c:v>5.5176484524156164</c:v>
                  </c:pt>
                  <c:pt idx="14">
                    <c:v>7.3865493372149844</c:v>
                  </c:pt>
                  <c:pt idx="15">
                    <c:v>2.7658633371878665</c:v>
                  </c:pt>
                  <c:pt idx="16">
                    <c:v>3.640054944640259</c:v>
                  </c:pt>
                  <c:pt idx="17">
                    <c:v>2.6791375063213492</c:v>
                  </c:pt>
                  <c:pt idx="18">
                    <c:v>4.0414518843273806</c:v>
                  </c:pt>
                  <c:pt idx="19">
                    <c:v>3.5308167138307631</c:v>
                  </c:pt>
                  <c:pt idx="20">
                    <c:v>1.6616591440819359</c:v>
                  </c:pt>
                  <c:pt idx="21">
                    <c:v>1.0954451150103324</c:v>
                  </c:pt>
                  <c:pt idx="22">
                    <c:v>1.3080944580232392</c:v>
                  </c:pt>
                  <c:pt idx="23">
                    <c:v>1.4700718047466632</c:v>
                  </c:pt>
                  <c:pt idx="24">
                    <c:v>1.1254628677422756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'Oregon - WT'!$K$2:$K$26</c:f>
              <c:numCache>
                <c:formatCode>General</c:formatCode>
                <c:ptCount val="25"/>
                <c:pt idx="0">
                  <c:v>13.666666666666666</c:v>
                </c:pt>
                <c:pt idx="1">
                  <c:v>3</c:v>
                </c:pt>
                <c:pt idx="2">
                  <c:v>3.1666666666666665</c:v>
                </c:pt>
                <c:pt idx="3">
                  <c:v>2.5</c:v>
                </c:pt>
                <c:pt idx="4">
                  <c:v>31.166666666666668</c:v>
                </c:pt>
                <c:pt idx="5">
                  <c:v>13.833333333333334</c:v>
                </c:pt>
                <c:pt idx="6">
                  <c:v>15.666666666666666</c:v>
                </c:pt>
                <c:pt idx="7">
                  <c:v>10.5</c:v>
                </c:pt>
                <c:pt idx="8">
                  <c:v>40.166666666666664</c:v>
                </c:pt>
                <c:pt idx="9">
                  <c:v>28.166666666666668</c:v>
                </c:pt>
                <c:pt idx="10">
                  <c:v>1.6666666666666667</c:v>
                </c:pt>
                <c:pt idx="11">
                  <c:v>1.3333333333333333</c:v>
                </c:pt>
                <c:pt idx="12">
                  <c:v>50.833333333333336</c:v>
                </c:pt>
                <c:pt idx="13">
                  <c:v>-7.666666666666667</c:v>
                </c:pt>
                <c:pt idx="14">
                  <c:v>25.166666666666668</c:v>
                </c:pt>
                <c:pt idx="15">
                  <c:v>4.5</c:v>
                </c:pt>
                <c:pt idx="16">
                  <c:v>-2.5</c:v>
                </c:pt>
                <c:pt idx="17">
                  <c:v>3.6666666666666665</c:v>
                </c:pt>
                <c:pt idx="18">
                  <c:v>5</c:v>
                </c:pt>
                <c:pt idx="19">
                  <c:v>-3</c:v>
                </c:pt>
                <c:pt idx="20">
                  <c:v>2.8333333333333335</c:v>
                </c:pt>
                <c:pt idx="21">
                  <c:v>2</c:v>
                </c:pt>
                <c:pt idx="22">
                  <c:v>0.66666666666666663</c:v>
                </c:pt>
                <c:pt idx="23">
                  <c:v>1.8333333333333333</c:v>
                </c:pt>
                <c:pt idx="24">
                  <c:v>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E-4984-919D-7DD967DA5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011336"/>
        <c:axId val="621011664"/>
      </c:barChart>
      <c:catAx>
        <c:axId val="621011336"/>
        <c:scaling>
          <c:orientation val="minMax"/>
        </c:scaling>
        <c:delete val="1"/>
        <c:axPos val="b"/>
        <c:majorTickMark val="none"/>
        <c:minorTickMark val="none"/>
        <c:tickLblPos val="nextTo"/>
        <c:crossAx val="621011664"/>
        <c:crosses val="autoZero"/>
        <c:auto val="1"/>
        <c:lblAlgn val="ctr"/>
        <c:lblOffset val="100"/>
        <c:noMultiLvlLbl val="0"/>
      </c:catAx>
      <c:valAx>
        <c:axId val="621011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1011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 w="12700"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'w;pIR76a-Gal4;pUASCpomIR41a1'!$L$2:$L$26</c:f>
                <c:numCache>
                  <c:formatCode>General</c:formatCode>
                  <c:ptCount val="25"/>
                  <c:pt idx="0">
                    <c:v>3.4675365209049378</c:v>
                  </c:pt>
                  <c:pt idx="1">
                    <c:v>3.3551665915633544</c:v>
                  </c:pt>
                  <c:pt idx="2">
                    <c:v>2.383474854273143</c:v>
                  </c:pt>
                  <c:pt idx="3">
                    <c:v>1.8464895909600467</c:v>
                  </c:pt>
                  <c:pt idx="4">
                    <c:v>3.9182114481458177</c:v>
                  </c:pt>
                  <c:pt idx="5">
                    <c:v>1.8309508328682536</c:v>
                  </c:pt>
                  <c:pt idx="6">
                    <c:v>3.3295216301616493</c:v>
                  </c:pt>
                  <c:pt idx="7">
                    <c:v>4.5129443456203475</c:v>
                  </c:pt>
                  <c:pt idx="8">
                    <c:v>6.7333569070780168</c:v>
                  </c:pt>
                  <c:pt idx="9">
                    <c:v>4.0807328940254033</c:v>
                  </c:pt>
                  <c:pt idx="10">
                    <c:v>3.9090858753617037</c:v>
                  </c:pt>
                  <c:pt idx="11">
                    <c:v>3.1137177288954896</c:v>
                  </c:pt>
                  <c:pt idx="12">
                    <c:v>2.5681195640464445</c:v>
                  </c:pt>
                  <c:pt idx="13">
                    <c:v>1.8870906472957549</c:v>
                  </c:pt>
                  <c:pt idx="14">
                    <c:v>4.4185755084426832</c:v>
                  </c:pt>
                  <c:pt idx="15">
                    <c:v>0.67612340378281321</c:v>
                  </c:pt>
                  <c:pt idx="16">
                    <c:v>0.9685531674075708</c:v>
                  </c:pt>
                  <c:pt idx="17">
                    <c:v>3.2130685526159448</c:v>
                  </c:pt>
                  <c:pt idx="18">
                    <c:v>3.7064936581755048</c:v>
                  </c:pt>
                  <c:pt idx="19">
                    <c:v>1.4425506510872956</c:v>
                  </c:pt>
                  <c:pt idx="20">
                    <c:v>2.9146591730832085</c:v>
                  </c:pt>
                  <c:pt idx="21">
                    <c:v>2.5004761451333528</c:v>
                  </c:pt>
                  <c:pt idx="22">
                    <c:v>1.3183683999911551</c:v>
                  </c:pt>
                  <c:pt idx="23">
                    <c:v>0.65100654667178559</c:v>
                  </c:pt>
                  <c:pt idx="24">
                    <c:v>1.6460631244043498</c:v>
                  </c:pt>
                </c:numCache>
              </c:numRef>
            </c:plus>
            <c:minus>
              <c:numRef>
                <c:f>'w;pIR76a-Gal4;pUASCpomIR41a1'!$L$2:$L$26</c:f>
                <c:numCache>
                  <c:formatCode>General</c:formatCode>
                  <c:ptCount val="25"/>
                  <c:pt idx="0">
                    <c:v>3.4675365209049378</c:v>
                  </c:pt>
                  <c:pt idx="1">
                    <c:v>3.3551665915633544</c:v>
                  </c:pt>
                  <c:pt idx="2">
                    <c:v>2.383474854273143</c:v>
                  </c:pt>
                  <c:pt idx="3">
                    <c:v>1.8464895909600467</c:v>
                  </c:pt>
                  <c:pt idx="4">
                    <c:v>3.9182114481458177</c:v>
                  </c:pt>
                  <c:pt idx="5">
                    <c:v>1.8309508328682536</c:v>
                  </c:pt>
                  <c:pt idx="6">
                    <c:v>3.3295216301616493</c:v>
                  </c:pt>
                  <c:pt idx="7">
                    <c:v>4.5129443456203475</c:v>
                  </c:pt>
                  <c:pt idx="8">
                    <c:v>6.7333569070780168</c:v>
                  </c:pt>
                  <c:pt idx="9">
                    <c:v>4.0807328940254033</c:v>
                  </c:pt>
                  <c:pt idx="10">
                    <c:v>3.9090858753617037</c:v>
                  </c:pt>
                  <c:pt idx="11">
                    <c:v>3.1137177288954896</c:v>
                  </c:pt>
                  <c:pt idx="12">
                    <c:v>2.5681195640464445</c:v>
                  </c:pt>
                  <c:pt idx="13">
                    <c:v>1.8870906472957549</c:v>
                  </c:pt>
                  <c:pt idx="14">
                    <c:v>4.4185755084426832</c:v>
                  </c:pt>
                  <c:pt idx="15">
                    <c:v>0.67612340378281321</c:v>
                  </c:pt>
                  <c:pt idx="16">
                    <c:v>0.9685531674075708</c:v>
                  </c:pt>
                  <c:pt idx="17">
                    <c:v>3.2130685526159448</c:v>
                  </c:pt>
                  <c:pt idx="18">
                    <c:v>3.7064936581755048</c:v>
                  </c:pt>
                  <c:pt idx="19">
                    <c:v>1.4425506510872956</c:v>
                  </c:pt>
                  <c:pt idx="20">
                    <c:v>2.9146591730832085</c:v>
                  </c:pt>
                  <c:pt idx="21">
                    <c:v>2.5004761451333528</c:v>
                  </c:pt>
                  <c:pt idx="22">
                    <c:v>1.3183683999911551</c:v>
                  </c:pt>
                  <c:pt idx="23">
                    <c:v>0.65100654667178559</c:v>
                  </c:pt>
                  <c:pt idx="24">
                    <c:v>1.6460631244043498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'w;pIR76a-Gal4;pUASCpomIR41a1'!$K$2:$K$26</c:f>
              <c:numCache>
                <c:formatCode>General</c:formatCode>
                <c:ptCount val="25"/>
                <c:pt idx="0">
                  <c:v>3.1666666666666665</c:v>
                </c:pt>
                <c:pt idx="1">
                  <c:v>5</c:v>
                </c:pt>
                <c:pt idx="2">
                  <c:v>12.833333333333334</c:v>
                </c:pt>
                <c:pt idx="3">
                  <c:v>28.333333333333332</c:v>
                </c:pt>
                <c:pt idx="4">
                  <c:v>31.333333333333332</c:v>
                </c:pt>
                <c:pt idx="5">
                  <c:v>-0.66666666666666663</c:v>
                </c:pt>
                <c:pt idx="6">
                  <c:v>12</c:v>
                </c:pt>
                <c:pt idx="7">
                  <c:v>4.833333333333333</c:v>
                </c:pt>
                <c:pt idx="8">
                  <c:v>19.166666666666668</c:v>
                </c:pt>
                <c:pt idx="9">
                  <c:v>16.833333333333332</c:v>
                </c:pt>
                <c:pt idx="10">
                  <c:v>14.833333333333334</c:v>
                </c:pt>
                <c:pt idx="11">
                  <c:v>28.666666666666668</c:v>
                </c:pt>
                <c:pt idx="12">
                  <c:v>23.833333333333332</c:v>
                </c:pt>
                <c:pt idx="13">
                  <c:v>-1.1666666666666667</c:v>
                </c:pt>
                <c:pt idx="14">
                  <c:v>15.666666666666666</c:v>
                </c:pt>
                <c:pt idx="15">
                  <c:v>1</c:v>
                </c:pt>
                <c:pt idx="16">
                  <c:v>-3.8333333333333335</c:v>
                </c:pt>
                <c:pt idx="17">
                  <c:v>-1.3333333333333333</c:v>
                </c:pt>
                <c:pt idx="18">
                  <c:v>3.1666666666666665</c:v>
                </c:pt>
                <c:pt idx="19">
                  <c:v>3.1666666666666665</c:v>
                </c:pt>
                <c:pt idx="20">
                  <c:v>-3.3333333333333335</c:v>
                </c:pt>
                <c:pt idx="21">
                  <c:v>2.8333333333333335</c:v>
                </c:pt>
                <c:pt idx="22">
                  <c:v>-0.83333333333333337</c:v>
                </c:pt>
                <c:pt idx="23">
                  <c:v>-1.1666666666666667</c:v>
                </c:pt>
                <c:pt idx="24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C-4D95-ABDD-161ECFFE0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214784"/>
        <c:axId val="621211832"/>
      </c:barChart>
      <c:catAx>
        <c:axId val="621214784"/>
        <c:scaling>
          <c:orientation val="minMax"/>
        </c:scaling>
        <c:delete val="1"/>
        <c:axPos val="b"/>
        <c:majorTickMark val="none"/>
        <c:minorTickMark val="none"/>
        <c:tickLblPos val="nextTo"/>
        <c:crossAx val="621211832"/>
        <c:crosses val="autoZero"/>
        <c:auto val="1"/>
        <c:lblAlgn val="ctr"/>
        <c:lblOffset val="100"/>
        <c:noMultiLvlLbl val="0"/>
      </c:catAx>
      <c:valAx>
        <c:axId val="621211832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121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'w;pIR75dGal4;IR75KO'!$L$2:$L$26</c:f>
                <c:numCache>
                  <c:formatCode>General</c:formatCode>
                  <c:ptCount val="25"/>
                  <c:pt idx="0">
                    <c:v>0.79398950365346066</c:v>
                  </c:pt>
                  <c:pt idx="1">
                    <c:v>0.7123641530615954</c:v>
                  </c:pt>
                  <c:pt idx="2">
                    <c:v>0.97844574543459573</c:v>
                  </c:pt>
                  <c:pt idx="3">
                    <c:v>1.0855384588110752</c:v>
                  </c:pt>
                  <c:pt idx="4">
                    <c:v>1.5416510592959376</c:v>
                  </c:pt>
                  <c:pt idx="5">
                    <c:v>1.3377680337081506</c:v>
                  </c:pt>
                  <c:pt idx="6">
                    <c:v>0.97917186482613627</c:v>
                  </c:pt>
                  <c:pt idx="7">
                    <c:v>1.3230771137921296</c:v>
                  </c:pt>
                  <c:pt idx="8">
                    <c:v>2.0411544039194238</c:v>
                  </c:pt>
                  <c:pt idx="9">
                    <c:v>0.73107489672382975</c:v>
                  </c:pt>
                  <c:pt idx="10">
                    <c:v>0.60205759487608357</c:v>
                  </c:pt>
                  <c:pt idx="11">
                    <c:v>1.0969363552405726</c:v>
                  </c:pt>
                  <c:pt idx="12">
                    <c:v>2.1664889763668915</c:v>
                  </c:pt>
                  <c:pt idx="13">
                    <c:v>0.87083356712674087</c:v>
                  </c:pt>
                  <c:pt idx="14">
                    <c:v>1.2170314706566077</c:v>
                  </c:pt>
                  <c:pt idx="15">
                    <c:v>0.85352232271102724</c:v>
                  </c:pt>
                  <c:pt idx="16">
                    <c:v>1.4104393000727697</c:v>
                  </c:pt>
                  <c:pt idx="17">
                    <c:v>0.3981121048718399</c:v>
                  </c:pt>
                  <c:pt idx="18">
                    <c:v>0.41558138688564911</c:v>
                  </c:pt>
                  <c:pt idx="19">
                    <c:v>0.64038456818307388</c:v>
                  </c:pt>
                  <c:pt idx="20">
                    <c:v>1.033552261467944</c:v>
                  </c:pt>
                  <c:pt idx="21">
                    <c:v>0.52984824368509165</c:v>
                  </c:pt>
                  <c:pt idx="22">
                    <c:v>0.90249594675096412</c:v>
                  </c:pt>
                  <c:pt idx="23">
                    <c:v>0.32976052563093766</c:v>
                  </c:pt>
                  <c:pt idx="24">
                    <c:v>0.65682140402661282</c:v>
                  </c:pt>
                </c:numCache>
              </c:numRef>
            </c:plus>
            <c:minus>
              <c:numRef>
                <c:f>'w;pIR75dGal4;IR75KO'!$L$2:$L$26</c:f>
                <c:numCache>
                  <c:formatCode>General</c:formatCode>
                  <c:ptCount val="25"/>
                  <c:pt idx="0">
                    <c:v>0.79398950365346066</c:v>
                  </c:pt>
                  <c:pt idx="1">
                    <c:v>0.7123641530615954</c:v>
                  </c:pt>
                  <c:pt idx="2">
                    <c:v>0.97844574543459573</c:v>
                  </c:pt>
                  <c:pt idx="3">
                    <c:v>1.0855384588110752</c:v>
                  </c:pt>
                  <c:pt idx="4">
                    <c:v>1.5416510592959376</c:v>
                  </c:pt>
                  <c:pt idx="5">
                    <c:v>1.3377680337081506</c:v>
                  </c:pt>
                  <c:pt idx="6">
                    <c:v>0.97917186482613627</c:v>
                  </c:pt>
                  <c:pt idx="7">
                    <c:v>1.3230771137921296</c:v>
                  </c:pt>
                  <c:pt idx="8">
                    <c:v>2.0411544039194238</c:v>
                  </c:pt>
                  <c:pt idx="9">
                    <c:v>0.73107489672382975</c:v>
                  </c:pt>
                  <c:pt idx="10">
                    <c:v>0.60205759487608357</c:v>
                  </c:pt>
                  <c:pt idx="11">
                    <c:v>1.0969363552405726</c:v>
                  </c:pt>
                  <c:pt idx="12">
                    <c:v>2.1664889763668915</c:v>
                  </c:pt>
                  <c:pt idx="13">
                    <c:v>0.87083356712674087</c:v>
                  </c:pt>
                  <c:pt idx="14">
                    <c:v>1.2170314706566077</c:v>
                  </c:pt>
                  <c:pt idx="15">
                    <c:v>0.85352232271102724</c:v>
                  </c:pt>
                  <c:pt idx="16">
                    <c:v>1.4104393000727697</c:v>
                  </c:pt>
                  <c:pt idx="17">
                    <c:v>0.3981121048718399</c:v>
                  </c:pt>
                  <c:pt idx="18">
                    <c:v>0.41558138688564911</c:v>
                  </c:pt>
                  <c:pt idx="19">
                    <c:v>0.64038456818307388</c:v>
                  </c:pt>
                  <c:pt idx="20">
                    <c:v>1.033552261467944</c:v>
                  </c:pt>
                  <c:pt idx="21">
                    <c:v>0.52984824368509165</c:v>
                  </c:pt>
                  <c:pt idx="22">
                    <c:v>0.90249594675096412</c:v>
                  </c:pt>
                  <c:pt idx="23">
                    <c:v>0.32976052563093766</c:v>
                  </c:pt>
                  <c:pt idx="24">
                    <c:v>0.65682140402661282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'w;pIR75dGal4;IR75KO'!$K$2:$K$26</c:f>
              <c:numCache>
                <c:formatCode>General</c:formatCode>
                <c:ptCount val="25"/>
                <c:pt idx="0">
                  <c:v>14.285714285714286</c:v>
                </c:pt>
                <c:pt idx="1">
                  <c:v>-2</c:v>
                </c:pt>
                <c:pt idx="2">
                  <c:v>-2.8571428571428572</c:v>
                </c:pt>
                <c:pt idx="3">
                  <c:v>2.5714285714285716</c:v>
                </c:pt>
                <c:pt idx="4">
                  <c:v>12.285714285714286</c:v>
                </c:pt>
                <c:pt idx="5">
                  <c:v>10.285714285714286</c:v>
                </c:pt>
                <c:pt idx="6">
                  <c:v>11.285714285714286</c:v>
                </c:pt>
                <c:pt idx="7">
                  <c:v>13.428571428571429</c:v>
                </c:pt>
                <c:pt idx="8">
                  <c:v>22.857142857142858</c:v>
                </c:pt>
                <c:pt idx="9">
                  <c:v>11.142857142857142</c:v>
                </c:pt>
                <c:pt idx="10">
                  <c:v>3.4285714285714284</c:v>
                </c:pt>
                <c:pt idx="11">
                  <c:v>0.5714285714285714</c:v>
                </c:pt>
                <c:pt idx="12">
                  <c:v>34.142857142857146</c:v>
                </c:pt>
                <c:pt idx="13">
                  <c:v>3.8571428571428572</c:v>
                </c:pt>
                <c:pt idx="14">
                  <c:v>15.714285714285714</c:v>
                </c:pt>
                <c:pt idx="15">
                  <c:v>-0.14285714285714285</c:v>
                </c:pt>
                <c:pt idx="16">
                  <c:v>0.5714285714285714</c:v>
                </c:pt>
                <c:pt idx="17">
                  <c:v>1.4285714285714286</c:v>
                </c:pt>
                <c:pt idx="18">
                  <c:v>2.2857142857142856</c:v>
                </c:pt>
                <c:pt idx="19">
                  <c:v>-0.14285714285714285</c:v>
                </c:pt>
                <c:pt idx="20">
                  <c:v>3.7142857142857144</c:v>
                </c:pt>
                <c:pt idx="21">
                  <c:v>0.14285714285714285</c:v>
                </c:pt>
                <c:pt idx="22">
                  <c:v>1.7142857142857142</c:v>
                </c:pt>
                <c:pt idx="23">
                  <c:v>-1.5714285714285714</c:v>
                </c:pt>
                <c:pt idx="24">
                  <c:v>-1.2857142857142858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0-4D15-A1A0-302F797AE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024456"/>
        <c:axId val="621020520"/>
      </c:barChart>
      <c:catAx>
        <c:axId val="621024456"/>
        <c:scaling>
          <c:orientation val="minMax"/>
        </c:scaling>
        <c:delete val="1"/>
        <c:axPos val="b"/>
        <c:majorTickMark val="none"/>
        <c:minorTickMark val="none"/>
        <c:tickLblPos val="nextTo"/>
        <c:crossAx val="621020520"/>
        <c:crosses val="autoZero"/>
        <c:auto val="1"/>
        <c:lblAlgn val="ctr"/>
        <c:lblOffset val="100"/>
        <c:noMultiLvlLbl val="0"/>
      </c:catAx>
      <c:valAx>
        <c:axId val="621020520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1024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CCFF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'w;UASDsuzIR75d;IR75KO'!$L$2:$L$26</c:f>
                <c:numCache>
                  <c:formatCode>General</c:formatCode>
                  <c:ptCount val="25"/>
                  <c:pt idx="0">
                    <c:v>3.1428571428571432</c:v>
                  </c:pt>
                  <c:pt idx="1">
                    <c:v>1.9622283598130013</c:v>
                  </c:pt>
                  <c:pt idx="2">
                    <c:v>1.8220120447341897</c:v>
                  </c:pt>
                  <c:pt idx="3">
                    <c:v>1.6392299502912862</c:v>
                  </c:pt>
                  <c:pt idx="4">
                    <c:v>3.2282764298434845</c:v>
                  </c:pt>
                  <c:pt idx="5">
                    <c:v>2.424366106925306</c:v>
                  </c:pt>
                  <c:pt idx="6">
                    <c:v>2.6431788735957937</c:v>
                  </c:pt>
                  <c:pt idx="7">
                    <c:v>6.2629457762237069</c:v>
                  </c:pt>
                  <c:pt idx="8">
                    <c:v>6.2672890123741576</c:v>
                  </c:pt>
                  <c:pt idx="9">
                    <c:v>5.0943479418254256</c:v>
                  </c:pt>
                  <c:pt idx="10">
                    <c:v>1.7651193326524419</c:v>
                  </c:pt>
                  <c:pt idx="11">
                    <c:v>1.3248026422136721</c:v>
                  </c:pt>
                  <c:pt idx="12">
                    <c:v>3.062834043978286</c:v>
                  </c:pt>
                  <c:pt idx="13">
                    <c:v>5.2540881394273109</c:v>
                  </c:pt>
                  <c:pt idx="14">
                    <c:v>4.0228936686653496</c:v>
                  </c:pt>
                  <c:pt idx="15">
                    <c:v>1.6014449257904988</c:v>
                  </c:pt>
                  <c:pt idx="16">
                    <c:v>2.9829447168315855</c:v>
                  </c:pt>
                  <c:pt idx="17">
                    <c:v>2.6406039300974804</c:v>
                  </c:pt>
                  <c:pt idx="18">
                    <c:v>2.4088837847508073</c:v>
                  </c:pt>
                  <c:pt idx="19">
                    <c:v>1.4937511563198209</c:v>
                  </c:pt>
                  <c:pt idx="20">
                    <c:v>3.2586880211286902</c:v>
                  </c:pt>
                  <c:pt idx="21">
                    <c:v>2.7230435153325327</c:v>
                  </c:pt>
                  <c:pt idx="22">
                    <c:v>2.3546162504906887</c:v>
                  </c:pt>
                  <c:pt idx="23">
                    <c:v>1.584362358058488</c:v>
                  </c:pt>
                  <c:pt idx="24">
                    <c:v>1.7142857142857142</c:v>
                  </c:pt>
                </c:numCache>
              </c:numRef>
            </c:plus>
            <c:minus>
              <c:numRef>
                <c:f>'w;UASDsuzIR75d;IR75KO'!$L$2:$L$26</c:f>
                <c:numCache>
                  <c:formatCode>General</c:formatCode>
                  <c:ptCount val="25"/>
                  <c:pt idx="0">
                    <c:v>3.1428571428571432</c:v>
                  </c:pt>
                  <c:pt idx="1">
                    <c:v>1.9622283598130013</c:v>
                  </c:pt>
                  <c:pt idx="2">
                    <c:v>1.8220120447341897</c:v>
                  </c:pt>
                  <c:pt idx="3">
                    <c:v>1.6392299502912862</c:v>
                  </c:pt>
                  <c:pt idx="4">
                    <c:v>3.2282764298434845</c:v>
                  </c:pt>
                  <c:pt idx="5">
                    <c:v>2.424366106925306</c:v>
                  </c:pt>
                  <c:pt idx="6">
                    <c:v>2.6431788735957937</c:v>
                  </c:pt>
                  <c:pt idx="7">
                    <c:v>6.2629457762237069</c:v>
                  </c:pt>
                  <c:pt idx="8">
                    <c:v>6.2672890123741576</c:v>
                  </c:pt>
                  <c:pt idx="9">
                    <c:v>5.0943479418254256</c:v>
                  </c:pt>
                  <c:pt idx="10">
                    <c:v>1.7651193326524419</c:v>
                  </c:pt>
                  <c:pt idx="11">
                    <c:v>1.3248026422136721</c:v>
                  </c:pt>
                  <c:pt idx="12">
                    <c:v>3.062834043978286</c:v>
                  </c:pt>
                  <c:pt idx="13">
                    <c:v>5.2540881394273109</c:v>
                  </c:pt>
                  <c:pt idx="14">
                    <c:v>4.0228936686653496</c:v>
                  </c:pt>
                  <c:pt idx="15">
                    <c:v>1.6014449257904988</c:v>
                  </c:pt>
                  <c:pt idx="16">
                    <c:v>2.9829447168315855</c:v>
                  </c:pt>
                  <c:pt idx="17">
                    <c:v>2.6406039300974804</c:v>
                  </c:pt>
                  <c:pt idx="18">
                    <c:v>2.4088837847508073</c:v>
                  </c:pt>
                  <c:pt idx="19">
                    <c:v>1.4937511563198209</c:v>
                  </c:pt>
                  <c:pt idx="20">
                    <c:v>3.2586880211286902</c:v>
                  </c:pt>
                  <c:pt idx="21">
                    <c:v>2.7230435153325327</c:v>
                  </c:pt>
                  <c:pt idx="22">
                    <c:v>2.3546162504906887</c:v>
                  </c:pt>
                  <c:pt idx="23">
                    <c:v>1.584362358058488</c:v>
                  </c:pt>
                  <c:pt idx="24">
                    <c:v>1.7142857142857142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'w;UASDsuzIR75d;IR75KO'!$K$2:$K$26</c:f>
              <c:numCache>
                <c:formatCode>General</c:formatCode>
                <c:ptCount val="25"/>
                <c:pt idx="0">
                  <c:v>11.857142857142858</c:v>
                </c:pt>
                <c:pt idx="1">
                  <c:v>-4.4285714285714288</c:v>
                </c:pt>
                <c:pt idx="2">
                  <c:v>-0.7142857142857143</c:v>
                </c:pt>
                <c:pt idx="3">
                  <c:v>2.8571428571428572</c:v>
                </c:pt>
                <c:pt idx="4">
                  <c:v>16.428571428571427</c:v>
                </c:pt>
                <c:pt idx="5">
                  <c:v>9.1428571428571423</c:v>
                </c:pt>
                <c:pt idx="6">
                  <c:v>10.285714285714286</c:v>
                </c:pt>
                <c:pt idx="7">
                  <c:v>17.285714285714285</c:v>
                </c:pt>
                <c:pt idx="8">
                  <c:v>34.428571428571431</c:v>
                </c:pt>
                <c:pt idx="9">
                  <c:v>23</c:v>
                </c:pt>
                <c:pt idx="10">
                  <c:v>1.8571428571428572</c:v>
                </c:pt>
                <c:pt idx="11">
                  <c:v>1.5714285714285714</c:v>
                </c:pt>
                <c:pt idx="12">
                  <c:v>23</c:v>
                </c:pt>
                <c:pt idx="13">
                  <c:v>0.7142857142857143</c:v>
                </c:pt>
                <c:pt idx="14">
                  <c:v>9.5714285714285712</c:v>
                </c:pt>
                <c:pt idx="15">
                  <c:v>3.5714285714285716</c:v>
                </c:pt>
                <c:pt idx="16">
                  <c:v>1.5714285714285714</c:v>
                </c:pt>
                <c:pt idx="17">
                  <c:v>4.8571428571428568</c:v>
                </c:pt>
                <c:pt idx="18">
                  <c:v>2.5714285714285716</c:v>
                </c:pt>
                <c:pt idx="19">
                  <c:v>3.4285714285714284</c:v>
                </c:pt>
                <c:pt idx="20">
                  <c:v>6</c:v>
                </c:pt>
                <c:pt idx="21">
                  <c:v>5.2857142857142856</c:v>
                </c:pt>
                <c:pt idx="22">
                  <c:v>4.1428571428571432</c:v>
                </c:pt>
                <c:pt idx="23">
                  <c:v>1.7142857142857142</c:v>
                </c:pt>
                <c:pt idx="24">
                  <c:v>1.2857142857142858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2-4F8C-9974-6C1C93CF8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213144"/>
        <c:axId val="621216096"/>
      </c:barChart>
      <c:catAx>
        <c:axId val="621213144"/>
        <c:scaling>
          <c:orientation val="minMax"/>
        </c:scaling>
        <c:delete val="1"/>
        <c:axPos val="b"/>
        <c:majorTickMark val="none"/>
        <c:minorTickMark val="none"/>
        <c:tickLblPos val="nextTo"/>
        <c:crossAx val="621216096"/>
        <c:crosses val="autoZero"/>
        <c:auto val="1"/>
        <c:lblAlgn val="ctr"/>
        <c:lblOffset val="100"/>
        <c:noMultiLvlLbl val="0"/>
      </c:catAx>
      <c:valAx>
        <c:axId val="621216096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121314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925634295714E-2"/>
          <c:y val="7.6423519976669588E-2"/>
          <c:w val="0.89521062992125988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66FF33"/>
            </a:solidFill>
            <a:ln w="12700"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'w;UASDsuzIR75d-IR75dGal4;IR75KO'!$N$2:$N$26</c:f>
                <c:numCache>
                  <c:formatCode>General</c:formatCode>
                  <c:ptCount val="25"/>
                  <c:pt idx="0">
                    <c:v>2.1306530782092472</c:v>
                  </c:pt>
                  <c:pt idx="1">
                    <c:v>2.9154759474226499</c:v>
                  </c:pt>
                  <c:pt idx="2">
                    <c:v>2.8044748822336358</c:v>
                  </c:pt>
                  <c:pt idx="3">
                    <c:v>2.4217925933240783</c:v>
                  </c:pt>
                  <c:pt idx="4">
                    <c:v>4.9920571832296678</c:v>
                  </c:pt>
                  <c:pt idx="5">
                    <c:v>2.209287754221342</c:v>
                  </c:pt>
                  <c:pt idx="6">
                    <c:v>1.8639223023523135</c:v>
                  </c:pt>
                  <c:pt idx="7">
                    <c:v>6.8353655514699589</c:v>
                  </c:pt>
                  <c:pt idx="8">
                    <c:v>5.3533849253281014</c:v>
                  </c:pt>
                  <c:pt idx="9">
                    <c:v>3.7435129075360334</c:v>
                  </c:pt>
                  <c:pt idx="10">
                    <c:v>1.8344152651674497</c:v>
                  </c:pt>
                  <c:pt idx="11">
                    <c:v>2.5323306286301581</c:v>
                  </c:pt>
                  <c:pt idx="12">
                    <c:v>6.2155399208706328</c:v>
                  </c:pt>
                  <c:pt idx="13">
                    <c:v>2.9028584708158438</c:v>
                  </c:pt>
                  <c:pt idx="14">
                    <c:v>6.0362660591219752</c:v>
                  </c:pt>
                  <c:pt idx="15">
                    <c:v>5.2793022025672807</c:v>
                  </c:pt>
                  <c:pt idx="16">
                    <c:v>1.8148418095390004</c:v>
                  </c:pt>
                  <c:pt idx="17">
                    <c:v>2.2435423202732645</c:v>
                  </c:pt>
                  <c:pt idx="18">
                    <c:v>2.7866871012009939</c:v>
                  </c:pt>
                  <c:pt idx="19">
                    <c:v>3.5206308056712321</c:v>
                  </c:pt>
                  <c:pt idx="20">
                    <c:v>3.9830992160727514</c:v>
                  </c:pt>
                  <c:pt idx="21">
                    <c:v>2.4688535993934706</c:v>
                  </c:pt>
                  <c:pt idx="22">
                    <c:v>1.9840634910475865</c:v>
                  </c:pt>
                  <c:pt idx="23">
                    <c:v>1.7037540250217393</c:v>
                  </c:pt>
                  <c:pt idx="24">
                    <c:v>2.9864110222222919</c:v>
                  </c:pt>
                </c:numCache>
              </c:numRef>
            </c:plus>
            <c:minus>
              <c:numRef>
                <c:f>'w;UASDsuzIR75d-IR75dGal4;IR75KO'!$N$2:$N$26</c:f>
                <c:numCache>
                  <c:formatCode>General</c:formatCode>
                  <c:ptCount val="25"/>
                  <c:pt idx="0">
                    <c:v>2.1306530782092472</c:v>
                  </c:pt>
                  <c:pt idx="1">
                    <c:v>2.9154759474226499</c:v>
                  </c:pt>
                  <c:pt idx="2">
                    <c:v>2.8044748822336358</c:v>
                  </c:pt>
                  <c:pt idx="3">
                    <c:v>2.4217925933240783</c:v>
                  </c:pt>
                  <c:pt idx="4">
                    <c:v>4.9920571832296678</c:v>
                  </c:pt>
                  <c:pt idx="5">
                    <c:v>2.209287754221342</c:v>
                  </c:pt>
                  <c:pt idx="6">
                    <c:v>1.8639223023523135</c:v>
                  </c:pt>
                  <c:pt idx="7">
                    <c:v>6.8353655514699589</c:v>
                  </c:pt>
                  <c:pt idx="8">
                    <c:v>5.3533849253281014</c:v>
                  </c:pt>
                  <c:pt idx="9">
                    <c:v>3.7435129075360334</c:v>
                  </c:pt>
                  <c:pt idx="10">
                    <c:v>1.8344152651674497</c:v>
                  </c:pt>
                  <c:pt idx="11">
                    <c:v>2.5323306286301581</c:v>
                  </c:pt>
                  <c:pt idx="12">
                    <c:v>6.2155399208706328</c:v>
                  </c:pt>
                  <c:pt idx="13">
                    <c:v>2.9028584708158438</c:v>
                  </c:pt>
                  <c:pt idx="14">
                    <c:v>6.0362660591219752</c:v>
                  </c:pt>
                  <c:pt idx="15">
                    <c:v>5.2793022025672807</c:v>
                  </c:pt>
                  <c:pt idx="16">
                    <c:v>1.8148418095390004</c:v>
                  </c:pt>
                  <c:pt idx="17">
                    <c:v>2.2435423202732645</c:v>
                  </c:pt>
                  <c:pt idx="18">
                    <c:v>2.7866871012009939</c:v>
                  </c:pt>
                  <c:pt idx="19">
                    <c:v>3.5206308056712321</c:v>
                  </c:pt>
                  <c:pt idx="20">
                    <c:v>3.9830992160727514</c:v>
                  </c:pt>
                  <c:pt idx="21">
                    <c:v>2.4688535993934706</c:v>
                  </c:pt>
                  <c:pt idx="22">
                    <c:v>1.9840634910475865</c:v>
                  </c:pt>
                  <c:pt idx="23">
                    <c:v>1.7037540250217393</c:v>
                  </c:pt>
                  <c:pt idx="24">
                    <c:v>2.9864110222222919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'w;UASDsuzIR75d-IR75dGal4;IR75KO'!$M$2:$M$26</c:f>
              <c:numCache>
                <c:formatCode>General</c:formatCode>
                <c:ptCount val="25"/>
                <c:pt idx="0">
                  <c:v>10.5</c:v>
                </c:pt>
                <c:pt idx="1">
                  <c:v>-3</c:v>
                </c:pt>
                <c:pt idx="2">
                  <c:v>-0.75</c:v>
                </c:pt>
                <c:pt idx="3">
                  <c:v>5.25</c:v>
                </c:pt>
                <c:pt idx="4">
                  <c:v>20.5</c:v>
                </c:pt>
                <c:pt idx="5">
                  <c:v>8.25</c:v>
                </c:pt>
                <c:pt idx="6">
                  <c:v>13.125</c:v>
                </c:pt>
                <c:pt idx="7">
                  <c:v>28.25</c:v>
                </c:pt>
                <c:pt idx="8">
                  <c:v>29.25</c:v>
                </c:pt>
                <c:pt idx="9">
                  <c:v>16.875</c:v>
                </c:pt>
                <c:pt idx="10">
                  <c:v>4</c:v>
                </c:pt>
                <c:pt idx="11">
                  <c:v>6</c:v>
                </c:pt>
                <c:pt idx="12">
                  <c:v>38.375</c:v>
                </c:pt>
                <c:pt idx="13">
                  <c:v>-6.875</c:v>
                </c:pt>
                <c:pt idx="14">
                  <c:v>-3.25</c:v>
                </c:pt>
                <c:pt idx="15">
                  <c:v>0.375</c:v>
                </c:pt>
                <c:pt idx="16">
                  <c:v>-1.75</c:v>
                </c:pt>
                <c:pt idx="17">
                  <c:v>4.625</c:v>
                </c:pt>
                <c:pt idx="18">
                  <c:v>6.125</c:v>
                </c:pt>
                <c:pt idx="19">
                  <c:v>5.125</c:v>
                </c:pt>
                <c:pt idx="20">
                  <c:v>4.75</c:v>
                </c:pt>
                <c:pt idx="21">
                  <c:v>11</c:v>
                </c:pt>
                <c:pt idx="22">
                  <c:v>2</c:v>
                </c:pt>
                <c:pt idx="23">
                  <c:v>2.125</c:v>
                </c:pt>
                <c:pt idx="24">
                  <c:v>-1.375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EF-4D5C-81A3-807C26DB9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4782040"/>
        <c:axId val="634779088"/>
      </c:barChart>
      <c:catAx>
        <c:axId val="634782040"/>
        <c:scaling>
          <c:orientation val="minMax"/>
        </c:scaling>
        <c:delete val="1"/>
        <c:axPos val="b"/>
        <c:majorTickMark val="none"/>
        <c:minorTickMark val="none"/>
        <c:tickLblPos val="nextTo"/>
        <c:crossAx val="634779088"/>
        <c:crosses val="autoZero"/>
        <c:auto val="1"/>
        <c:lblAlgn val="ctr"/>
        <c:lblOffset val="100"/>
        <c:noMultiLvlLbl val="0"/>
      </c:catAx>
      <c:valAx>
        <c:axId val="634779088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4782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'w;BlCyO;pIR84aKOGal4'!$L$2:$L$26</c:f>
                <c:numCache>
                  <c:formatCode>General</c:formatCode>
                  <c:ptCount val="25"/>
                  <c:pt idx="0">
                    <c:v>1.2494443209327541</c:v>
                  </c:pt>
                  <c:pt idx="1">
                    <c:v>2.0234733614368254</c:v>
                  </c:pt>
                  <c:pt idx="2">
                    <c:v>4.4771022374348846</c:v>
                  </c:pt>
                  <c:pt idx="3">
                    <c:v>3.5815887225891498</c:v>
                  </c:pt>
                  <c:pt idx="4">
                    <c:v>1.7638342073763951</c:v>
                  </c:pt>
                  <c:pt idx="5">
                    <c:v>3.4448028487370168</c:v>
                  </c:pt>
                  <c:pt idx="6">
                    <c:v>2.3487585373270425</c:v>
                  </c:pt>
                  <c:pt idx="7">
                    <c:v>1.1080513425729774</c:v>
                  </c:pt>
                  <c:pt idx="8">
                    <c:v>1.9776529298921783</c:v>
                  </c:pt>
                  <c:pt idx="9">
                    <c:v>5.7778311963342555</c:v>
                  </c:pt>
                  <c:pt idx="10">
                    <c:v>3.0840089349921009</c:v>
                  </c:pt>
                  <c:pt idx="11">
                    <c:v>1.7448336437736536</c:v>
                  </c:pt>
                  <c:pt idx="12">
                    <c:v>9.6933539660486527</c:v>
                  </c:pt>
                  <c:pt idx="13">
                    <c:v>3.0632227038420394</c:v>
                  </c:pt>
                  <c:pt idx="14">
                    <c:v>3.9051248379533279</c:v>
                  </c:pt>
                  <c:pt idx="15">
                    <c:v>2.6708300832013507</c:v>
                  </c:pt>
                  <c:pt idx="16">
                    <c:v>2.2570876022973603</c:v>
                  </c:pt>
                  <c:pt idx="17">
                    <c:v>3.5932034608564978</c:v>
                  </c:pt>
                  <c:pt idx="18">
                    <c:v>2.4415386769639982</c:v>
                  </c:pt>
                  <c:pt idx="19">
                    <c:v>2.386303510546059</c:v>
                  </c:pt>
                  <c:pt idx="20">
                    <c:v>1.5202339001321841</c:v>
                  </c:pt>
                  <c:pt idx="21">
                    <c:v>2.5516878945339516</c:v>
                  </c:pt>
                  <c:pt idx="22">
                    <c:v>3.0294847380004706</c:v>
                  </c:pt>
                  <c:pt idx="23">
                    <c:v>1.4981470036162823</c:v>
                  </c:pt>
                  <c:pt idx="24">
                    <c:v>1.5420044674960505</c:v>
                  </c:pt>
                </c:numCache>
              </c:numRef>
            </c:plus>
            <c:minus>
              <c:numRef>
                <c:f>'w;BlCyO;pIR84aKOGal4'!$L$2:$L$26</c:f>
                <c:numCache>
                  <c:formatCode>General</c:formatCode>
                  <c:ptCount val="25"/>
                  <c:pt idx="0">
                    <c:v>1.2494443209327541</c:v>
                  </c:pt>
                  <c:pt idx="1">
                    <c:v>2.0234733614368254</c:v>
                  </c:pt>
                  <c:pt idx="2">
                    <c:v>4.4771022374348846</c:v>
                  </c:pt>
                  <c:pt idx="3">
                    <c:v>3.5815887225891498</c:v>
                  </c:pt>
                  <c:pt idx="4">
                    <c:v>1.7638342073763951</c:v>
                  </c:pt>
                  <c:pt idx="5">
                    <c:v>3.4448028487370168</c:v>
                  </c:pt>
                  <c:pt idx="6">
                    <c:v>2.3487585373270425</c:v>
                  </c:pt>
                  <c:pt idx="7">
                    <c:v>1.1080513425729774</c:v>
                  </c:pt>
                  <c:pt idx="8">
                    <c:v>1.9776529298921783</c:v>
                  </c:pt>
                  <c:pt idx="9">
                    <c:v>5.7778311963342555</c:v>
                  </c:pt>
                  <c:pt idx="10">
                    <c:v>3.0840089349921009</c:v>
                  </c:pt>
                  <c:pt idx="11">
                    <c:v>1.7448336437736536</c:v>
                  </c:pt>
                  <c:pt idx="12">
                    <c:v>9.6933539660486527</c:v>
                  </c:pt>
                  <c:pt idx="13">
                    <c:v>3.0632227038420394</c:v>
                  </c:pt>
                  <c:pt idx="14">
                    <c:v>3.9051248379533279</c:v>
                  </c:pt>
                  <c:pt idx="15">
                    <c:v>2.6708300832013507</c:v>
                  </c:pt>
                  <c:pt idx="16">
                    <c:v>2.2570876022973603</c:v>
                  </c:pt>
                  <c:pt idx="17">
                    <c:v>3.5932034608564978</c:v>
                  </c:pt>
                  <c:pt idx="18">
                    <c:v>2.4415386769639982</c:v>
                  </c:pt>
                  <c:pt idx="19">
                    <c:v>2.386303510546059</c:v>
                  </c:pt>
                  <c:pt idx="20">
                    <c:v>1.5202339001321841</c:v>
                  </c:pt>
                  <c:pt idx="21">
                    <c:v>2.5516878945339516</c:v>
                  </c:pt>
                  <c:pt idx="22">
                    <c:v>3.0294847380004706</c:v>
                  </c:pt>
                  <c:pt idx="23">
                    <c:v>1.4981470036162823</c:v>
                  </c:pt>
                  <c:pt idx="24">
                    <c:v>1.5420044674960505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'w;BlCyO;pIR84aKOGal4'!$K$2:$K$26</c:f>
              <c:numCache>
                <c:formatCode>General</c:formatCode>
                <c:ptCount val="25"/>
                <c:pt idx="0">
                  <c:v>-0.83333333333333337</c:v>
                </c:pt>
                <c:pt idx="1">
                  <c:v>-2.1666666666666665</c:v>
                </c:pt>
                <c:pt idx="2">
                  <c:v>2.3333333333333335</c:v>
                </c:pt>
                <c:pt idx="3">
                  <c:v>3.1666666666666665</c:v>
                </c:pt>
                <c:pt idx="4">
                  <c:v>21.333333333333332</c:v>
                </c:pt>
                <c:pt idx="5">
                  <c:v>11</c:v>
                </c:pt>
                <c:pt idx="6">
                  <c:v>13.714285714285714</c:v>
                </c:pt>
                <c:pt idx="7">
                  <c:v>1.8333333333333333</c:v>
                </c:pt>
                <c:pt idx="8">
                  <c:v>24.333333333333332</c:v>
                </c:pt>
                <c:pt idx="9">
                  <c:v>24.5</c:v>
                </c:pt>
                <c:pt idx="10">
                  <c:v>1.3333333333333333</c:v>
                </c:pt>
                <c:pt idx="11">
                  <c:v>0.66666666666666663</c:v>
                </c:pt>
                <c:pt idx="12">
                  <c:v>39.833333333333336</c:v>
                </c:pt>
                <c:pt idx="13">
                  <c:v>5.5</c:v>
                </c:pt>
                <c:pt idx="14">
                  <c:v>14.5</c:v>
                </c:pt>
                <c:pt idx="15">
                  <c:v>-1</c:v>
                </c:pt>
                <c:pt idx="16">
                  <c:v>-1.8333333333333333</c:v>
                </c:pt>
                <c:pt idx="17">
                  <c:v>-1.6666666666666667</c:v>
                </c:pt>
                <c:pt idx="18">
                  <c:v>-3.1666666666666665</c:v>
                </c:pt>
                <c:pt idx="19">
                  <c:v>0.16666666666666666</c:v>
                </c:pt>
                <c:pt idx="20">
                  <c:v>3.3333333333333335</c:v>
                </c:pt>
                <c:pt idx="21">
                  <c:v>0.66666666666666663</c:v>
                </c:pt>
                <c:pt idx="22">
                  <c:v>-6.666666666666667</c:v>
                </c:pt>
                <c:pt idx="23">
                  <c:v>-0.66666666666666663</c:v>
                </c:pt>
                <c:pt idx="24">
                  <c:v>-0.66666666666666663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1-4089-B2E9-6F0C3CE32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9112128"/>
        <c:axId val="629113440"/>
      </c:barChart>
      <c:catAx>
        <c:axId val="629112128"/>
        <c:scaling>
          <c:orientation val="minMax"/>
        </c:scaling>
        <c:delete val="1"/>
        <c:axPos val="b"/>
        <c:majorTickMark val="none"/>
        <c:minorTickMark val="none"/>
        <c:tickLblPos val="nextTo"/>
        <c:crossAx val="629113440"/>
        <c:crosses val="autoZero"/>
        <c:auto val="1"/>
        <c:lblAlgn val="ctr"/>
        <c:lblOffset val="100"/>
        <c:noMultiLvlLbl val="0"/>
      </c:catAx>
      <c:valAx>
        <c:axId val="629113440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911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 w="12700"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'w;UASDsuzIR64a;pIR84a-Gal4'!$J$2:$J$26</c:f>
                <c:numCache>
                  <c:formatCode>General</c:formatCode>
                  <c:ptCount val="25"/>
                  <c:pt idx="0">
                    <c:v>3.0886890422961</c:v>
                  </c:pt>
                  <c:pt idx="1">
                    <c:v>1.6733200530681509</c:v>
                  </c:pt>
                  <c:pt idx="2">
                    <c:v>3.1144823004794873</c:v>
                  </c:pt>
                  <c:pt idx="3">
                    <c:v>4.342810150121692</c:v>
                  </c:pt>
                  <c:pt idx="4">
                    <c:v>7.1442284397967004</c:v>
                  </c:pt>
                  <c:pt idx="5">
                    <c:v>3.2619012860600183</c:v>
                  </c:pt>
                  <c:pt idx="6">
                    <c:v>3.9166312055132275</c:v>
                  </c:pt>
                  <c:pt idx="7">
                    <c:v>3.9064049969249219</c:v>
                  </c:pt>
                  <c:pt idx="8">
                    <c:v>6.8920243760451108</c:v>
                  </c:pt>
                  <c:pt idx="9">
                    <c:v>6.5345237010818158</c:v>
                  </c:pt>
                  <c:pt idx="10">
                    <c:v>1.6911534525287764</c:v>
                  </c:pt>
                  <c:pt idx="11">
                    <c:v>0.74833147735478789</c:v>
                  </c:pt>
                  <c:pt idx="12">
                    <c:v>5.4626001134990663</c:v>
                  </c:pt>
                  <c:pt idx="13">
                    <c:v>2.2671568097509267</c:v>
                  </c:pt>
                  <c:pt idx="14">
                    <c:v>5.5551777649324601</c:v>
                  </c:pt>
                  <c:pt idx="15">
                    <c:v>0.37416573867739394</c:v>
                  </c:pt>
                  <c:pt idx="16">
                    <c:v>1.7888543819998317</c:v>
                  </c:pt>
                  <c:pt idx="17">
                    <c:v>4.6324939287601872</c:v>
                  </c:pt>
                  <c:pt idx="18">
                    <c:v>4.5782092569038388</c:v>
                  </c:pt>
                  <c:pt idx="19">
                    <c:v>3.5721142198983502</c:v>
                  </c:pt>
                  <c:pt idx="20">
                    <c:v>2.0880613017821101</c:v>
                  </c:pt>
                  <c:pt idx="21">
                    <c:v>2.2934689882359427</c:v>
                  </c:pt>
                  <c:pt idx="22">
                    <c:v>4.1665333311999309</c:v>
                  </c:pt>
                  <c:pt idx="23">
                    <c:v>2.0149441679609881</c:v>
                  </c:pt>
                  <c:pt idx="24">
                    <c:v>1.2884098726725124</c:v>
                  </c:pt>
                </c:numCache>
              </c:numRef>
            </c:plus>
            <c:minus>
              <c:numRef>
                <c:f>'w;UASDsuzIR64a;pIR84a-Gal4'!$J$2:$J$26</c:f>
                <c:numCache>
                  <c:formatCode>General</c:formatCode>
                  <c:ptCount val="25"/>
                  <c:pt idx="0">
                    <c:v>3.0886890422961</c:v>
                  </c:pt>
                  <c:pt idx="1">
                    <c:v>1.6733200530681509</c:v>
                  </c:pt>
                  <c:pt idx="2">
                    <c:v>3.1144823004794873</c:v>
                  </c:pt>
                  <c:pt idx="3">
                    <c:v>4.342810150121692</c:v>
                  </c:pt>
                  <c:pt idx="4">
                    <c:v>7.1442284397967004</c:v>
                  </c:pt>
                  <c:pt idx="5">
                    <c:v>3.2619012860600183</c:v>
                  </c:pt>
                  <c:pt idx="6">
                    <c:v>3.9166312055132275</c:v>
                  </c:pt>
                  <c:pt idx="7">
                    <c:v>3.9064049969249219</c:v>
                  </c:pt>
                  <c:pt idx="8">
                    <c:v>6.8920243760451108</c:v>
                  </c:pt>
                  <c:pt idx="9">
                    <c:v>6.5345237010818158</c:v>
                  </c:pt>
                  <c:pt idx="10">
                    <c:v>1.6911534525287764</c:v>
                  </c:pt>
                  <c:pt idx="11">
                    <c:v>0.74833147735478789</c:v>
                  </c:pt>
                  <c:pt idx="12">
                    <c:v>5.4626001134990663</c:v>
                  </c:pt>
                  <c:pt idx="13">
                    <c:v>2.2671568097509267</c:v>
                  </c:pt>
                  <c:pt idx="14">
                    <c:v>5.5551777649324601</c:v>
                  </c:pt>
                  <c:pt idx="15">
                    <c:v>0.37416573867739394</c:v>
                  </c:pt>
                  <c:pt idx="16">
                    <c:v>1.7888543819998317</c:v>
                  </c:pt>
                  <c:pt idx="17">
                    <c:v>4.6324939287601872</c:v>
                  </c:pt>
                  <c:pt idx="18">
                    <c:v>4.5782092569038388</c:v>
                  </c:pt>
                  <c:pt idx="19">
                    <c:v>3.5721142198983502</c:v>
                  </c:pt>
                  <c:pt idx="20">
                    <c:v>2.0880613017821101</c:v>
                  </c:pt>
                  <c:pt idx="21">
                    <c:v>2.2934689882359427</c:v>
                  </c:pt>
                  <c:pt idx="22">
                    <c:v>4.1665333311999309</c:v>
                  </c:pt>
                  <c:pt idx="23">
                    <c:v>2.0149441679609881</c:v>
                  </c:pt>
                  <c:pt idx="24">
                    <c:v>1.2884098726725124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'w;UASDsuzIR64a;pIR84a-Gal4'!$I$2:$I$26</c:f>
              <c:numCache>
                <c:formatCode>General</c:formatCode>
                <c:ptCount val="25"/>
                <c:pt idx="0">
                  <c:v>1.2</c:v>
                </c:pt>
                <c:pt idx="1">
                  <c:v>7</c:v>
                </c:pt>
                <c:pt idx="2">
                  <c:v>-2</c:v>
                </c:pt>
                <c:pt idx="3">
                  <c:v>1.4</c:v>
                </c:pt>
                <c:pt idx="4">
                  <c:v>16.8</c:v>
                </c:pt>
                <c:pt idx="5">
                  <c:v>5.8</c:v>
                </c:pt>
                <c:pt idx="6">
                  <c:v>8.1999999999999993</c:v>
                </c:pt>
                <c:pt idx="7">
                  <c:v>1.4</c:v>
                </c:pt>
                <c:pt idx="8">
                  <c:v>21</c:v>
                </c:pt>
                <c:pt idx="9">
                  <c:v>20</c:v>
                </c:pt>
                <c:pt idx="10">
                  <c:v>-4.5999999999999996</c:v>
                </c:pt>
                <c:pt idx="11">
                  <c:v>5.4</c:v>
                </c:pt>
                <c:pt idx="12">
                  <c:v>27.2</c:v>
                </c:pt>
                <c:pt idx="13">
                  <c:v>5.2</c:v>
                </c:pt>
                <c:pt idx="14">
                  <c:v>16.399999999999999</c:v>
                </c:pt>
                <c:pt idx="15">
                  <c:v>3.2</c:v>
                </c:pt>
                <c:pt idx="16">
                  <c:v>1</c:v>
                </c:pt>
                <c:pt idx="17">
                  <c:v>7.6</c:v>
                </c:pt>
                <c:pt idx="18">
                  <c:v>8.4</c:v>
                </c:pt>
                <c:pt idx="19">
                  <c:v>9.6</c:v>
                </c:pt>
                <c:pt idx="20">
                  <c:v>4.4000000000000004</c:v>
                </c:pt>
                <c:pt idx="21">
                  <c:v>4.4000000000000004</c:v>
                </c:pt>
                <c:pt idx="22">
                  <c:v>4.5999999999999996</c:v>
                </c:pt>
                <c:pt idx="23">
                  <c:v>2.4</c:v>
                </c:pt>
                <c:pt idx="24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7-4C15-A9C1-E5386F622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0036704"/>
        <c:axId val="630036048"/>
      </c:barChart>
      <c:catAx>
        <c:axId val="630036704"/>
        <c:scaling>
          <c:orientation val="minMax"/>
        </c:scaling>
        <c:delete val="1"/>
        <c:axPos val="b"/>
        <c:majorTickMark val="none"/>
        <c:minorTickMark val="none"/>
        <c:tickLblPos val="nextTo"/>
        <c:crossAx val="630036048"/>
        <c:crosses val="autoZero"/>
        <c:auto val="1"/>
        <c:lblAlgn val="ctr"/>
        <c:lblOffset val="100"/>
        <c:noMultiLvlLbl val="0"/>
      </c:catAx>
      <c:valAx>
        <c:axId val="630036048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0036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ln w="12700"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'w;UASCpomIR64a∆;pIR84a-Gal4'!$K$2:$K$26</c:f>
                <c:numCache>
                  <c:formatCode>General</c:formatCode>
                  <c:ptCount val="25"/>
                  <c:pt idx="0">
                    <c:v>1.4083086782851739</c:v>
                  </c:pt>
                  <c:pt idx="1">
                    <c:v>3.6024682896283462</c:v>
                  </c:pt>
                  <c:pt idx="2">
                    <c:v>4.2005290672062303</c:v>
                  </c:pt>
                  <c:pt idx="3">
                    <c:v>3.2761766334148312</c:v>
                  </c:pt>
                  <c:pt idx="4">
                    <c:v>8.5417276420587847</c:v>
                  </c:pt>
                  <c:pt idx="5">
                    <c:v>3.1269438398822866</c:v>
                  </c:pt>
                  <c:pt idx="6">
                    <c:v>4.1425971456456043</c:v>
                  </c:pt>
                  <c:pt idx="7">
                    <c:v>3.7305048809332324</c:v>
                  </c:pt>
                  <c:pt idx="8">
                    <c:v>6.6315743061340857</c:v>
                  </c:pt>
                  <c:pt idx="9">
                    <c:v>4.1613299156239307</c:v>
                  </c:pt>
                  <c:pt idx="10">
                    <c:v>4.2222953210046521</c:v>
                  </c:pt>
                  <c:pt idx="11">
                    <c:v>4.8539788947945697</c:v>
                  </c:pt>
                  <c:pt idx="12">
                    <c:v>6.4467907606119113</c:v>
                  </c:pt>
                  <c:pt idx="13">
                    <c:v>6.106917753207787</c:v>
                  </c:pt>
                  <c:pt idx="14">
                    <c:v>4.0531195119041072</c:v>
                  </c:pt>
                  <c:pt idx="15">
                    <c:v>1.7013066873566463</c:v>
                  </c:pt>
                  <c:pt idx="16">
                    <c:v>3.7983914724232655</c:v>
                  </c:pt>
                  <c:pt idx="17">
                    <c:v>2.8136571693556891</c:v>
                  </c:pt>
                  <c:pt idx="18">
                    <c:v>4.6815239683960463</c:v>
                  </c:pt>
                  <c:pt idx="19">
                    <c:v>0.80622577482985502</c:v>
                  </c:pt>
                  <c:pt idx="20">
                    <c:v>2.3664319132398468</c:v>
                  </c:pt>
                  <c:pt idx="21">
                    <c:v>2.0275875100994067</c:v>
                  </c:pt>
                  <c:pt idx="22">
                    <c:v>1.4063348739819326</c:v>
                  </c:pt>
                  <c:pt idx="23">
                    <c:v>1.7826322609494587</c:v>
                  </c:pt>
                  <c:pt idx="24">
                    <c:v>2.4630604269214889</c:v>
                  </c:pt>
                </c:numCache>
              </c:numRef>
            </c:plus>
            <c:minus>
              <c:numRef>
                <c:f>'w;UASCpomIR64a∆;pIR84a-Gal4'!$K$2:$K$26</c:f>
                <c:numCache>
                  <c:formatCode>General</c:formatCode>
                  <c:ptCount val="25"/>
                  <c:pt idx="0">
                    <c:v>1.4083086782851739</c:v>
                  </c:pt>
                  <c:pt idx="1">
                    <c:v>3.6024682896283462</c:v>
                  </c:pt>
                  <c:pt idx="2">
                    <c:v>4.2005290672062303</c:v>
                  </c:pt>
                  <c:pt idx="3">
                    <c:v>3.2761766334148312</c:v>
                  </c:pt>
                  <c:pt idx="4">
                    <c:v>8.5417276420587847</c:v>
                  </c:pt>
                  <c:pt idx="5">
                    <c:v>3.1269438398822866</c:v>
                  </c:pt>
                  <c:pt idx="6">
                    <c:v>4.1425971456456043</c:v>
                  </c:pt>
                  <c:pt idx="7">
                    <c:v>3.7305048809332324</c:v>
                  </c:pt>
                  <c:pt idx="8">
                    <c:v>6.6315743061340857</c:v>
                  </c:pt>
                  <c:pt idx="9">
                    <c:v>4.1613299156239307</c:v>
                  </c:pt>
                  <c:pt idx="10">
                    <c:v>4.2222953210046521</c:v>
                  </c:pt>
                  <c:pt idx="11">
                    <c:v>4.8539788947945697</c:v>
                  </c:pt>
                  <c:pt idx="12">
                    <c:v>6.4467907606119113</c:v>
                  </c:pt>
                  <c:pt idx="13">
                    <c:v>6.106917753207787</c:v>
                  </c:pt>
                  <c:pt idx="14">
                    <c:v>4.0531195119041072</c:v>
                  </c:pt>
                  <c:pt idx="15">
                    <c:v>1.7013066873566463</c:v>
                  </c:pt>
                  <c:pt idx="16">
                    <c:v>3.7983914724232655</c:v>
                  </c:pt>
                  <c:pt idx="17">
                    <c:v>2.8136571693556891</c:v>
                  </c:pt>
                  <c:pt idx="18">
                    <c:v>4.6815239683960463</c:v>
                  </c:pt>
                  <c:pt idx="19">
                    <c:v>0.80622577482985502</c:v>
                  </c:pt>
                  <c:pt idx="20">
                    <c:v>2.3664319132398468</c:v>
                  </c:pt>
                  <c:pt idx="21">
                    <c:v>2.0275875100994067</c:v>
                  </c:pt>
                  <c:pt idx="22">
                    <c:v>1.4063348739819326</c:v>
                  </c:pt>
                  <c:pt idx="23">
                    <c:v>1.7826322609494587</c:v>
                  </c:pt>
                  <c:pt idx="24">
                    <c:v>2.4630604269214889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'w;UASCpomIR64a∆;pIR84a-Gal4'!$J$2:$J$26</c:f>
              <c:numCache>
                <c:formatCode>General</c:formatCode>
                <c:ptCount val="25"/>
                <c:pt idx="0">
                  <c:v>3.5</c:v>
                </c:pt>
                <c:pt idx="1">
                  <c:v>5.666666666666667</c:v>
                </c:pt>
                <c:pt idx="2">
                  <c:v>7.333333333333333</c:v>
                </c:pt>
                <c:pt idx="3">
                  <c:v>-3</c:v>
                </c:pt>
                <c:pt idx="4">
                  <c:v>13.166666666666666</c:v>
                </c:pt>
                <c:pt idx="5">
                  <c:v>1.6666666666666667</c:v>
                </c:pt>
                <c:pt idx="6">
                  <c:v>13.833333333333334</c:v>
                </c:pt>
                <c:pt idx="7">
                  <c:v>4.5</c:v>
                </c:pt>
                <c:pt idx="8">
                  <c:v>26.333333333333332</c:v>
                </c:pt>
                <c:pt idx="9">
                  <c:v>25.5</c:v>
                </c:pt>
                <c:pt idx="10">
                  <c:v>4.166666666666667</c:v>
                </c:pt>
                <c:pt idx="11">
                  <c:v>-0.83333333333333337</c:v>
                </c:pt>
                <c:pt idx="12">
                  <c:v>32.833333333333336</c:v>
                </c:pt>
                <c:pt idx="13">
                  <c:v>1.1666666666666667</c:v>
                </c:pt>
                <c:pt idx="14">
                  <c:v>18.833333333333332</c:v>
                </c:pt>
                <c:pt idx="15">
                  <c:v>4.833333333333333</c:v>
                </c:pt>
                <c:pt idx="16">
                  <c:v>2.1666666666666665</c:v>
                </c:pt>
                <c:pt idx="17">
                  <c:v>3.5</c:v>
                </c:pt>
                <c:pt idx="18">
                  <c:v>0.5</c:v>
                </c:pt>
                <c:pt idx="19">
                  <c:v>2.5</c:v>
                </c:pt>
                <c:pt idx="20">
                  <c:v>6</c:v>
                </c:pt>
                <c:pt idx="21">
                  <c:v>2.6666666666666665</c:v>
                </c:pt>
                <c:pt idx="22">
                  <c:v>3.3333333333333335</c:v>
                </c:pt>
                <c:pt idx="23">
                  <c:v>2.6666666666666665</c:v>
                </c:pt>
                <c:pt idx="2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0-4D00-880F-8FD3F664D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5720"/>
        <c:axId val="627688176"/>
      </c:barChart>
      <c:catAx>
        <c:axId val="627695720"/>
        <c:scaling>
          <c:orientation val="minMax"/>
        </c:scaling>
        <c:delete val="1"/>
        <c:axPos val="b"/>
        <c:majorTickMark val="none"/>
        <c:minorTickMark val="none"/>
        <c:tickLblPos val="nextTo"/>
        <c:crossAx val="627688176"/>
        <c:crosses val="autoZero"/>
        <c:auto val="1"/>
        <c:lblAlgn val="ctr"/>
        <c:lblOffset val="100"/>
        <c:noMultiLvlLbl val="0"/>
      </c:catAx>
      <c:valAx>
        <c:axId val="627688176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7695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7620</xdr:rowOff>
    </xdr:from>
    <xdr:to>
      <xdr:col>9</xdr:col>
      <xdr:colOff>7620</xdr:colOff>
      <xdr:row>41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177981</xdr:rowOff>
    </xdr:from>
    <xdr:to>
      <xdr:col>9</xdr:col>
      <xdr:colOff>1088</xdr:colOff>
      <xdr:row>41</xdr:row>
      <xdr:rowOff>177982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171450</xdr:rowOff>
    </xdr:from>
    <xdr:to>
      <xdr:col>9</xdr:col>
      <xdr:colOff>7620</xdr:colOff>
      <xdr:row>41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26</xdr:row>
      <xdr:rowOff>171450</xdr:rowOff>
    </xdr:from>
    <xdr:to>
      <xdr:col>9</xdr:col>
      <xdr:colOff>7620</xdr:colOff>
      <xdr:row>41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179070</xdr:rowOff>
    </xdr:from>
    <xdr:to>
      <xdr:col>9</xdr:col>
      <xdr:colOff>0</xdr:colOff>
      <xdr:row>41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171450</xdr:rowOff>
    </xdr:from>
    <xdr:to>
      <xdr:col>9</xdr:col>
      <xdr:colOff>0</xdr:colOff>
      <xdr:row>41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163830</xdr:rowOff>
    </xdr:from>
    <xdr:to>
      <xdr:col>9</xdr:col>
      <xdr:colOff>7620</xdr:colOff>
      <xdr:row>41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163830</xdr:rowOff>
    </xdr:from>
    <xdr:to>
      <xdr:col>9</xdr:col>
      <xdr:colOff>15240</xdr:colOff>
      <xdr:row>41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zoomScaleNormal="100" workbookViewId="0">
      <selection activeCell="A16" sqref="A16"/>
    </sheetView>
  </sheetViews>
  <sheetFormatPr defaultRowHeight="14.4" x14ac:dyDescent="0.3"/>
  <cols>
    <col min="1" max="1" width="28.77734375" customWidth="1"/>
    <col min="2" max="8" width="10.77734375" customWidth="1"/>
    <col min="9" max="9" width="12.77734375" customWidth="1"/>
    <col min="10" max="12" width="10.77734375" customWidth="1"/>
  </cols>
  <sheetData>
    <row r="1" spans="1:14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42</v>
      </c>
      <c r="J1" s="7" t="s">
        <v>15</v>
      </c>
      <c r="K1" s="7" t="s">
        <v>14</v>
      </c>
      <c r="L1" s="7" t="s">
        <v>13</v>
      </c>
      <c r="M1" s="7" t="s">
        <v>41</v>
      </c>
      <c r="N1" s="7" t="s">
        <v>15</v>
      </c>
    </row>
    <row r="2" spans="1:14" x14ac:dyDescent="0.3">
      <c r="A2" s="3" t="s">
        <v>16</v>
      </c>
      <c r="B2">
        <f>36-23</f>
        <v>13</v>
      </c>
      <c r="C2">
        <f>46-27</f>
        <v>19</v>
      </c>
      <c r="D2">
        <f>31-17</f>
        <v>14</v>
      </c>
      <c r="E2">
        <f>33-25</f>
        <v>8</v>
      </c>
      <c r="F2">
        <f>31-20</f>
        <v>11</v>
      </c>
      <c r="G2">
        <f>43-26</f>
        <v>17</v>
      </c>
      <c r="H2">
        <f>71-11</f>
        <v>60</v>
      </c>
      <c r="I2" s="29">
        <f>_xlfn.T.TEST(B2:H2,$B$25:$H$25,2,1)</f>
        <v>4.5517865209952116E-2</v>
      </c>
      <c r="J2" s="23" t="str">
        <f>IF(I2&lt;=0.05,IF(I2&lt;0.01,IF(I2&lt;0.001,"***","**"),"*"),"")</f>
        <v>*</v>
      </c>
      <c r="K2">
        <f>AVERAGE(B2:G2)</f>
        <v>13.666666666666666</v>
      </c>
      <c r="L2">
        <f>STDEV(B2:G2)/SQRT(6)</f>
        <v>1.6261747890200617</v>
      </c>
      <c r="M2" s="25">
        <v>1.7999999999999999E-2</v>
      </c>
      <c r="N2" t="str">
        <f>IF(M2&lt;=0.05,IF(M2&lt;0.01,IF(O2&lt;0.001,"***","**"),"*"),"")</f>
        <v>*</v>
      </c>
    </row>
    <row r="3" spans="1:14" ht="14.4" customHeight="1" x14ac:dyDescent="0.3">
      <c r="A3" s="6" t="s">
        <v>17</v>
      </c>
      <c r="B3">
        <f>35-29</f>
        <v>6</v>
      </c>
      <c r="C3">
        <f>33-29</f>
        <v>4</v>
      </c>
      <c r="D3">
        <f>29-17</f>
        <v>12</v>
      </c>
      <c r="E3">
        <f>17-18</f>
        <v>-1</v>
      </c>
      <c r="F3">
        <f>20-22</f>
        <v>-2</v>
      </c>
      <c r="G3">
        <f>27-28</f>
        <v>-1</v>
      </c>
      <c r="H3">
        <f>31-44</f>
        <v>-13</v>
      </c>
      <c r="I3" s="25">
        <f>_xlfn.T.TEST(B3:H3,$B$26:$H$26,2,1)</f>
        <v>0.59246071506664366</v>
      </c>
      <c r="J3" t="str">
        <f t="shared" ref="J3:J24" si="0">IF(I3&lt;=0.05,IF(I3&lt;0.01,IF(I3&lt;0.001,"***","**"),"*"),"")</f>
        <v/>
      </c>
      <c r="K3">
        <f t="shared" ref="K3:K26" si="1">AVERAGE(B3:G3)</f>
        <v>3</v>
      </c>
      <c r="L3">
        <f t="shared" ref="L3:L26" si="2">STDEV(B3:G3)/SQRT(6)</f>
        <v>2.2211108331943579</v>
      </c>
      <c r="M3" s="25">
        <v>0.5</v>
      </c>
      <c r="N3" t="str">
        <f t="shared" ref="N3:N24" si="3">IF(M3&lt;=0.05,IF(M3&lt;0.01,IF(O3&lt;0.001,"***","**"),"*"),"")</f>
        <v/>
      </c>
    </row>
    <row r="4" spans="1:14" x14ac:dyDescent="0.3">
      <c r="A4" s="2" t="s">
        <v>18</v>
      </c>
      <c r="B4">
        <f>31-26</f>
        <v>5</v>
      </c>
      <c r="C4">
        <f>30-21</f>
        <v>9</v>
      </c>
      <c r="D4">
        <f>26-17</f>
        <v>9</v>
      </c>
      <c r="E4">
        <f>27-27</f>
        <v>0</v>
      </c>
      <c r="F4">
        <f>28-33</f>
        <v>-5</v>
      </c>
      <c r="G4">
        <f>16-15</f>
        <v>1</v>
      </c>
      <c r="H4">
        <f>23-41</f>
        <v>-18</v>
      </c>
      <c r="I4" s="25">
        <f>_xlfn.T.TEST(B4:H4,$B$26:$H$26,2,1)</f>
        <v>0.7411064102186844</v>
      </c>
      <c r="J4" t="str">
        <f t="shared" si="0"/>
        <v/>
      </c>
      <c r="K4">
        <f t="shared" si="1"/>
        <v>3.1666666666666665</v>
      </c>
      <c r="L4">
        <f t="shared" si="2"/>
        <v>2.2570876022973603</v>
      </c>
      <c r="M4" s="25">
        <v>0.39700000000000002</v>
      </c>
      <c r="N4" t="str">
        <f t="shared" si="3"/>
        <v/>
      </c>
    </row>
    <row r="5" spans="1:14" x14ac:dyDescent="0.3">
      <c r="A5" s="3" t="s">
        <v>21</v>
      </c>
      <c r="B5">
        <f>29-33</f>
        <v>-4</v>
      </c>
      <c r="C5">
        <f>25-29</f>
        <v>-4</v>
      </c>
      <c r="D5">
        <f>29-17</f>
        <v>12</v>
      </c>
      <c r="E5">
        <f>30-23</f>
        <v>7</v>
      </c>
      <c r="F5">
        <f>26-27</f>
        <v>-1</v>
      </c>
      <c r="G5">
        <f>26-21</f>
        <v>5</v>
      </c>
      <c r="H5">
        <f>45-47</f>
        <v>-2</v>
      </c>
      <c r="I5" s="25">
        <f>_xlfn.T.TEST(B5:H5,$B$25:$H$25,2,1)</f>
        <v>0.79113113830656734</v>
      </c>
      <c r="J5" t="str">
        <f t="shared" si="0"/>
        <v/>
      </c>
      <c r="K5">
        <f t="shared" si="1"/>
        <v>2.5</v>
      </c>
      <c r="L5">
        <f t="shared" si="2"/>
        <v>2.6677081299622469</v>
      </c>
      <c r="M5" s="25">
        <v>0.61</v>
      </c>
      <c r="N5" t="str">
        <f t="shared" si="3"/>
        <v/>
      </c>
    </row>
    <row r="6" spans="1:14" x14ac:dyDescent="0.3">
      <c r="A6" s="3" t="s">
        <v>22</v>
      </c>
      <c r="B6">
        <f>82-17</f>
        <v>65</v>
      </c>
      <c r="C6">
        <f>46-18</f>
        <v>28</v>
      </c>
      <c r="D6">
        <f>48-8</f>
        <v>40</v>
      </c>
      <c r="E6">
        <f>36-22</f>
        <v>14</v>
      </c>
      <c r="F6">
        <f>33-14</f>
        <v>19</v>
      </c>
      <c r="G6">
        <f>42-21</f>
        <v>21</v>
      </c>
      <c r="H6">
        <f>54-39</f>
        <v>15</v>
      </c>
      <c r="I6" s="29">
        <f>_xlfn.T.TEST(B6:H6,$B$25:$H$25,2,1)</f>
        <v>4.0324657720416605E-3</v>
      </c>
      <c r="J6" s="23" t="str">
        <f t="shared" si="0"/>
        <v>**</v>
      </c>
      <c r="K6">
        <f t="shared" si="1"/>
        <v>31.166666666666668</v>
      </c>
      <c r="L6">
        <f t="shared" si="2"/>
        <v>7.7002885948803526</v>
      </c>
      <c r="M6" s="25">
        <v>1.7999999999999999E-2</v>
      </c>
      <c r="N6" t="str">
        <f t="shared" si="3"/>
        <v>*</v>
      </c>
    </row>
    <row r="7" spans="1:14" x14ac:dyDescent="0.3">
      <c r="A7" s="3" t="s">
        <v>23</v>
      </c>
      <c r="B7">
        <f>28-25</f>
        <v>3</v>
      </c>
      <c r="C7">
        <f>33-28</f>
        <v>5</v>
      </c>
      <c r="D7">
        <f>27-10</f>
        <v>17</v>
      </c>
      <c r="E7">
        <f>40-21</f>
        <v>19</v>
      </c>
      <c r="F7">
        <f>31-16</f>
        <v>15</v>
      </c>
      <c r="G7">
        <f>43-19</f>
        <v>24</v>
      </c>
      <c r="H7">
        <f>83-54</f>
        <v>29</v>
      </c>
      <c r="I7" s="29">
        <f>_xlfn.T.TEST(B7:H7,$B$25:$H$25,2,1)</f>
        <v>1.5371431799010359E-2</v>
      </c>
      <c r="J7" s="23" t="str">
        <f t="shared" si="0"/>
        <v>*</v>
      </c>
      <c r="K7">
        <f t="shared" si="1"/>
        <v>13.833333333333334</v>
      </c>
      <c r="L7">
        <f t="shared" si="2"/>
        <v>3.3507876354340596</v>
      </c>
      <c r="M7" s="25">
        <v>2.8000000000000001E-2</v>
      </c>
      <c r="N7" t="str">
        <f t="shared" si="3"/>
        <v>*</v>
      </c>
    </row>
    <row r="8" spans="1:14" x14ac:dyDescent="0.3">
      <c r="A8" s="3" t="s">
        <v>34</v>
      </c>
      <c r="B8">
        <f>37-24</f>
        <v>13</v>
      </c>
      <c r="C8">
        <f>40-34</f>
        <v>6</v>
      </c>
      <c r="D8">
        <f>26-22</f>
        <v>4</v>
      </c>
      <c r="E8">
        <f>51-22</f>
        <v>29</v>
      </c>
      <c r="F8">
        <f>48-18</f>
        <v>30</v>
      </c>
      <c r="G8">
        <f>25-13</f>
        <v>12</v>
      </c>
      <c r="H8">
        <f>73-54</f>
        <v>19</v>
      </c>
      <c r="I8" s="29">
        <f>_xlfn.T.TEST(B8:H8,$B$25:$H$25,2,1)</f>
        <v>1.2988488907482635E-2</v>
      </c>
      <c r="J8" s="23" t="str">
        <f t="shared" si="0"/>
        <v>*</v>
      </c>
      <c r="K8">
        <f t="shared" si="1"/>
        <v>15.666666666666666</v>
      </c>
      <c r="L8">
        <f t="shared" si="2"/>
        <v>4.5946829173634072</v>
      </c>
      <c r="M8" s="25">
        <v>1.7999999999999999E-2</v>
      </c>
      <c r="N8" t="str">
        <f t="shared" si="3"/>
        <v>*</v>
      </c>
    </row>
    <row r="9" spans="1:14" x14ac:dyDescent="0.3">
      <c r="A9" s="3" t="s">
        <v>46</v>
      </c>
      <c r="B9">
        <f>34-25</f>
        <v>9</v>
      </c>
      <c r="C9">
        <f>42-29</f>
        <v>13</v>
      </c>
      <c r="D9">
        <f>28-22</f>
        <v>6</v>
      </c>
      <c r="E9">
        <f>21-12</f>
        <v>9</v>
      </c>
      <c r="F9">
        <f>29-15</f>
        <v>14</v>
      </c>
      <c r="G9">
        <f>31-19</f>
        <v>12</v>
      </c>
      <c r="H9">
        <f>63-22</f>
        <v>41</v>
      </c>
      <c r="I9" s="29">
        <f>_xlfn.T.TEST(B9:H9,$B$25:$H$25,2,1)</f>
        <v>4.5256265347806107E-2</v>
      </c>
      <c r="J9" s="23" t="str">
        <f t="shared" si="0"/>
        <v>*</v>
      </c>
      <c r="K9">
        <f t="shared" si="1"/>
        <v>10.5</v>
      </c>
      <c r="L9">
        <f t="shared" si="2"/>
        <v>1.2315302134607444</v>
      </c>
      <c r="M9" s="25">
        <v>1.7999999999999999E-2</v>
      </c>
      <c r="N9" t="str">
        <f t="shared" si="3"/>
        <v>*</v>
      </c>
    </row>
    <row r="10" spans="1:14" x14ac:dyDescent="0.3">
      <c r="A10" s="2" t="s">
        <v>47</v>
      </c>
      <c r="B10">
        <f>42-26</f>
        <v>16</v>
      </c>
      <c r="C10">
        <f>38-18</f>
        <v>20</v>
      </c>
      <c r="D10">
        <f>53-23</f>
        <v>30</v>
      </c>
      <c r="E10">
        <f>64-20</f>
        <v>44</v>
      </c>
      <c r="F10">
        <f>96-16</f>
        <v>80</v>
      </c>
      <c r="G10">
        <f>77-26</f>
        <v>51</v>
      </c>
      <c r="H10">
        <f>87-49</f>
        <v>38</v>
      </c>
      <c r="I10" s="29">
        <f>_xlfn.T.TEST(B10:H10,$B$26:$H$26,2,1)</f>
        <v>2.9369986978534089E-3</v>
      </c>
      <c r="J10" s="23" t="str">
        <f t="shared" si="0"/>
        <v>**</v>
      </c>
      <c r="K10">
        <f t="shared" si="1"/>
        <v>40.166666666666664</v>
      </c>
      <c r="L10">
        <f t="shared" si="2"/>
        <v>9.6830321238293511</v>
      </c>
      <c r="M10" s="25">
        <v>1.7999999999999999E-2</v>
      </c>
      <c r="N10" t="str">
        <f t="shared" si="3"/>
        <v>*</v>
      </c>
    </row>
    <row r="11" spans="1:14" x14ac:dyDescent="0.3">
      <c r="A11" s="3" t="s">
        <v>38</v>
      </c>
      <c r="B11">
        <f>38-20</f>
        <v>18</v>
      </c>
      <c r="C11">
        <f>56-24</f>
        <v>32</v>
      </c>
      <c r="D11">
        <f>35-20</f>
        <v>15</v>
      </c>
      <c r="E11">
        <f>74-28</f>
        <v>46</v>
      </c>
      <c r="F11">
        <f>32-31</f>
        <v>1</v>
      </c>
      <c r="G11">
        <f>75-18</f>
        <v>57</v>
      </c>
      <c r="H11">
        <f>43-44</f>
        <v>-1</v>
      </c>
      <c r="I11" s="29">
        <f t="shared" ref="I11:I16" si="4">_xlfn.T.TEST(B11:H11,$B$25:$H$25,2,1)</f>
        <v>2.560157412410962E-2</v>
      </c>
      <c r="J11" s="23" t="str">
        <f t="shared" si="0"/>
        <v>*</v>
      </c>
      <c r="K11">
        <f t="shared" si="1"/>
        <v>28.166666666666668</v>
      </c>
      <c r="L11">
        <f t="shared" si="2"/>
        <v>8.522193249262644</v>
      </c>
      <c r="M11" s="25">
        <v>1.7999999999999999E-2</v>
      </c>
      <c r="N11" t="str">
        <f t="shared" si="3"/>
        <v>*</v>
      </c>
    </row>
    <row r="12" spans="1:14" x14ac:dyDescent="0.3">
      <c r="A12" s="3" t="s">
        <v>19</v>
      </c>
      <c r="B12">
        <f>28-28</f>
        <v>0</v>
      </c>
      <c r="C12">
        <f>46-45</f>
        <v>1</v>
      </c>
      <c r="D12">
        <f>17-14</f>
        <v>3</v>
      </c>
      <c r="E12">
        <f>22-26</f>
        <v>-4</v>
      </c>
      <c r="F12">
        <f>22-19</f>
        <v>3</v>
      </c>
      <c r="G12">
        <f>31-24</f>
        <v>7</v>
      </c>
      <c r="H12">
        <f>55-64</f>
        <v>-9</v>
      </c>
      <c r="I12" s="25">
        <f t="shared" si="4"/>
        <v>0.6878242591661422</v>
      </c>
      <c r="J12" t="str">
        <f t="shared" si="0"/>
        <v/>
      </c>
      <c r="K12">
        <f t="shared" si="1"/>
        <v>1.6666666666666667</v>
      </c>
      <c r="L12">
        <f t="shared" si="2"/>
        <v>1.4981470036162823</v>
      </c>
      <c r="M12" s="25">
        <v>0.61</v>
      </c>
      <c r="N12" t="str">
        <f t="shared" si="3"/>
        <v/>
      </c>
    </row>
    <row r="13" spans="1:14" x14ac:dyDescent="0.3">
      <c r="A13" s="3" t="s">
        <v>20</v>
      </c>
      <c r="B13">
        <f>31-36</f>
        <v>-5</v>
      </c>
      <c r="C13">
        <f>34-29</f>
        <v>5</v>
      </c>
      <c r="D13">
        <f>18-23</f>
        <v>-5</v>
      </c>
      <c r="E13">
        <f>31-30</f>
        <v>1</v>
      </c>
      <c r="F13">
        <f>26-19</f>
        <v>7</v>
      </c>
      <c r="G13">
        <f>32-27</f>
        <v>5</v>
      </c>
      <c r="H13">
        <f>58-55</f>
        <v>3</v>
      </c>
      <c r="I13" s="25">
        <f t="shared" si="4"/>
        <v>0.89017000063903962</v>
      </c>
      <c r="J13" t="str">
        <f t="shared" si="0"/>
        <v/>
      </c>
      <c r="K13">
        <f t="shared" si="1"/>
        <v>1.3333333333333333</v>
      </c>
      <c r="L13">
        <f t="shared" si="2"/>
        <v>2.155097316699282</v>
      </c>
      <c r="M13" s="25">
        <v>0.86499999999999999</v>
      </c>
      <c r="N13" t="str">
        <f t="shared" si="3"/>
        <v/>
      </c>
    </row>
    <row r="14" spans="1:14" x14ac:dyDescent="0.3">
      <c r="A14" s="3" t="s">
        <v>36</v>
      </c>
      <c r="B14">
        <f>99-26</f>
        <v>73</v>
      </c>
      <c r="C14">
        <f>100-44</f>
        <v>56</v>
      </c>
      <c r="D14">
        <f>79-16</f>
        <v>63</v>
      </c>
      <c r="E14">
        <f>77-34</f>
        <v>43</v>
      </c>
      <c r="F14">
        <f>43-15</f>
        <v>28</v>
      </c>
      <c r="G14">
        <f>63-21</f>
        <v>42</v>
      </c>
      <c r="H14">
        <f>66-41</f>
        <v>25</v>
      </c>
      <c r="I14" s="29">
        <f t="shared" si="4"/>
        <v>2.056567662679797E-4</v>
      </c>
      <c r="J14" s="23" t="str">
        <f t="shared" si="0"/>
        <v>***</v>
      </c>
      <c r="K14">
        <f t="shared" si="1"/>
        <v>50.833333333333336</v>
      </c>
      <c r="L14">
        <f t="shared" si="2"/>
        <v>6.6503968135576548</v>
      </c>
      <c r="M14" s="25">
        <v>1.7999999999999999E-2</v>
      </c>
      <c r="N14" t="str">
        <f t="shared" si="3"/>
        <v>*</v>
      </c>
    </row>
    <row r="15" spans="1:14" x14ac:dyDescent="0.3">
      <c r="A15" s="3" t="s">
        <v>24</v>
      </c>
      <c r="B15">
        <f>26-32</f>
        <v>-6</v>
      </c>
      <c r="C15">
        <f>0-34</f>
        <v>-34</v>
      </c>
      <c r="D15">
        <f>19-15</f>
        <v>4</v>
      </c>
      <c r="E15">
        <f>28-31</f>
        <v>-3</v>
      </c>
      <c r="F15">
        <f>24-31</f>
        <v>-7</v>
      </c>
      <c r="G15">
        <f>20-20</f>
        <v>0</v>
      </c>
      <c r="H15">
        <f>24-32</f>
        <v>-8</v>
      </c>
      <c r="I15" s="25">
        <f t="shared" si="4"/>
        <v>0.10281539643015561</v>
      </c>
      <c r="J15" t="str">
        <f t="shared" si="0"/>
        <v/>
      </c>
      <c r="K15">
        <f t="shared" si="1"/>
        <v>-7.666666666666667</v>
      </c>
      <c r="L15">
        <f t="shared" si="2"/>
        <v>5.5176484524156164</v>
      </c>
      <c r="M15" s="28">
        <v>4.2999999999999997E-2</v>
      </c>
      <c r="N15" s="36" t="str">
        <f t="shared" si="3"/>
        <v>*</v>
      </c>
    </row>
    <row r="16" spans="1:14" x14ac:dyDescent="0.3">
      <c r="A16" s="3" t="s">
        <v>57</v>
      </c>
      <c r="B16">
        <f>39-31</f>
        <v>8</v>
      </c>
      <c r="C16">
        <f>36-27</f>
        <v>9</v>
      </c>
      <c r="D16">
        <f>63-28</f>
        <v>35</v>
      </c>
      <c r="E16">
        <f>84-31</f>
        <v>53</v>
      </c>
      <c r="F16">
        <f>41-28</f>
        <v>13</v>
      </c>
      <c r="G16">
        <f>44-11</f>
        <v>33</v>
      </c>
      <c r="H16">
        <f>75-40</f>
        <v>35</v>
      </c>
      <c r="I16" s="29">
        <f t="shared" si="4"/>
        <v>7.5289542162384274E-3</v>
      </c>
      <c r="J16" s="23" t="str">
        <f t="shared" si="0"/>
        <v>**</v>
      </c>
      <c r="K16">
        <f t="shared" si="1"/>
        <v>25.166666666666668</v>
      </c>
      <c r="L16">
        <f t="shared" si="2"/>
        <v>7.3865493372149844</v>
      </c>
      <c r="M16" s="25">
        <v>1.7999999999999999E-2</v>
      </c>
      <c r="N16" t="str">
        <f t="shared" si="3"/>
        <v>*</v>
      </c>
    </row>
    <row r="17" spans="1:14" x14ac:dyDescent="0.3">
      <c r="A17" s="2" t="s">
        <v>25</v>
      </c>
      <c r="B17">
        <f>35-30</f>
        <v>5</v>
      </c>
      <c r="C17">
        <f>14-19</f>
        <v>-5</v>
      </c>
      <c r="D17">
        <f>31-17</f>
        <v>14</v>
      </c>
      <c r="E17">
        <f>28-27</f>
        <v>1</v>
      </c>
      <c r="F17">
        <f>28-18</f>
        <v>10</v>
      </c>
      <c r="G17">
        <f>21-19</f>
        <v>2</v>
      </c>
      <c r="H17" t="s">
        <v>3</v>
      </c>
      <c r="I17" s="25">
        <f>_xlfn.T.TEST(B17:G17,$B$26:$G$26,2,1)</f>
        <v>0.10055172349863219</v>
      </c>
      <c r="J17" t="str">
        <f t="shared" si="0"/>
        <v/>
      </c>
      <c r="K17">
        <f t="shared" si="1"/>
        <v>4.5</v>
      </c>
      <c r="L17">
        <f t="shared" si="2"/>
        <v>2.7658633371878665</v>
      </c>
      <c r="M17" s="25">
        <v>7.4999999999999997E-2</v>
      </c>
      <c r="N17" t="str">
        <f t="shared" si="3"/>
        <v/>
      </c>
    </row>
    <row r="18" spans="1:14" x14ac:dyDescent="0.3">
      <c r="A18" s="2" t="s">
        <v>33</v>
      </c>
      <c r="B18">
        <f>40-38</f>
        <v>2</v>
      </c>
      <c r="C18">
        <f>23-24</f>
        <v>-1</v>
      </c>
      <c r="D18">
        <f>16-33</f>
        <v>-17</v>
      </c>
      <c r="E18">
        <f>33-23</f>
        <v>10</v>
      </c>
      <c r="F18">
        <f>20-25</f>
        <v>-5</v>
      </c>
      <c r="G18">
        <f>22-26</f>
        <v>-4</v>
      </c>
      <c r="H18" t="s">
        <v>3</v>
      </c>
      <c r="I18" s="25">
        <f>_xlfn.T.TEST(B18:G18,$B$26:$G$26,2,1)</f>
        <v>0.90048218902200317</v>
      </c>
      <c r="J18" t="str">
        <f t="shared" si="0"/>
        <v/>
      </c>
      <c r="K18">
        <f t="shared" si="1"/>
        <v>-2.5</v>
      </c>
      <c r="L18">
        <f t="shared" si="2"/>
        <v>3.640054944640259</v>
      </c>
      <c r="M18" s="25">
        <v>0.91600000000000004</v>
      </c>
      <c r="N18" t="str">
        <f t="shared" si="3"/>
        <v/>
      </c>
    </row>
    <row r="19" spans="1:14" x14ac:dyDescent="0.3">
      <c r="A19" s="3" t="s">
        <v>26</v>
      </c>
      <c r="B19">
        <f>36-23</f>
        <v>13</v>
      </c>
      <c r="C19">
        <f>27-26</f>
        <v>1</v>
      </c>
      <c r="D19">
        <f>29-18</f>
        <v>11</v>
      </c>
      <c r="E19">
        <f>19-20</f>
        <v>-1</v>
      </c>
      <c r="F19">
        <f>22-24</f>
        <v>-2</v>
      </c>
      <c r="G19">
        <f>33-33</f>
        <v>0</v>
      </c>
      <c r="H19" t="s">
        <v>3</v>
      </c>
      <c r="I19" s="25">
        <f>_xlfn.T.TEST(B19:G19,$B$25:$G$25,2,1)</f>
        <v>0.45632588196295437</v>
      </c>
      <c r="J19" t="str">
        <f t="shared" si="0"/>
        <v/>
      </c>
      <c r="K19">
        <f t="shared" si="1"/>
        <v>3.6666666666666665</v>
      </c>
      <c r="L19">
        <f t="shared" si="2"/>
        <v>2.6791375063213492</v>
      </c>
      <c r="M19" s="25">
        <v>0.39500000000000002</v>
      </c>
      <c r="N19" t="str">
        <f t="shared" si="3"/>
        <v/>
      </c>
    </row>
    <row r="20" spans="1:14" x14ac:dyDescent="0.3">
      <c r="A20" s="3" t="s">
        <v>37</v>
      </c>
      <c r="B20">
        <f>29-26</f>
        <v>3</v>
      </c>
      <c r="C20">
        <f>29-28</f>
        <v>1</v>
      </c>
      <c r="D20">
        <f>42-17</f>
        <v>25</v>
      </c>
      <c r="E20">
        <f>26-26</f>
        <v>0</v>
      </c>
      <c r="F20">
        <f>29-30</f>
        <v>-1</v>
      </c>
      <c r="G20">
        <f>27-25</f>
        <v>2</v>
      </c>
      <c r="H20">
        <f>34-30</f>
        <v>4</v>
      </c>
      <c r="I20" s="25">
        <f>_xlfn.T.TEST(B20:H20,$B$25:$H$25,2,1)</f>
        <v>0.3543719173744081</v>
      </c>
      <c r="J20" t="str">
        <f t="shared" si="0"/>
        <v/>
      </c>
      <c r="K20">
        <f t="shared" si="1"/>
        <v>5</v>
      </c>
      <c r="L20">
        <f t="shared" si="2"/>
        <v>4.0414518843273806</v>
      </c>
      <c r="M20" s="25">
        <v>0.39700000000000002</v>
      </c>
      <c r="N20" t="str">
        <f t="shared" si="3"/>
        <v/>
      </c>
    </row>
    <row r="21" spans="1:14" x14ac:dyDescent="0.3">
      <c r="A21" s="3" t="s">
        <v>27</v>
      </c>
      <c r="B21">
        <f>39-34</f>
        <v>5</v>
      </c>
      <c r="C21">
        <f>37-36</f>
        <v>1</v>
      </c>
      <c r="D21">
        <f>14-28</f>
        <v>-14</v>
      </c>
      <c r="E21">
        <f>26-23</f>
        <v>3</v>
      </c>
      <c r="F21">
        <f>27-26</f>
        <v>1</v>
      </c>
      <c r="G21">
        <f>25-39</f>
        <v>-14</v>
      </c>
      <c r="H21" t="s">
        <v>3</v>
      </c>
      <c r="I21" s="25">
        <f>_xlfn.T.TEST(B21:G21,$B$25:$G$25,2,1)</f>
        <v>0.2076111853726661</v>
      </c>
      <c r="J21" t="str">
        <f t="shared" si="0"/>
        <v/>
      </c>
      <c r="K21">
        <f t="shared" si="1"/>
        <v>-3</v>
      </c>
      <c r="L21">
        <f t="shared" si="2"/>
        <v>3.5308167138307631</v>
      </c>
      <c r="M21" s="25">
        <v>0.246</v>
      </c>
      <c r="N21" t="str">
        <f t="shared" si="3"/>
        <v/>
      </c>
    </row>
    <row r="22" spans="1:14" x14ac:dyDescent="0.3">
      <c r="A22" s="3" t="s">
        <v>28</v>
      </c>
      <c r="B22">
        <f>26-25</f>
        <v>1</v>
      </c>
      <c r="C22">
        <f>32-32</f>
        <v>0</v>
      </c>
      <c r="D22">
        <f>21-13</f>
        <v>8</v>
      </c>
      <c r="E22">
        <f>24-25</f>
        <v>-1</v>
      </c>
      <c r="F22">
        <f>20-12</f>
        <v>8</v>
      </c>
      <c r="G22">
        <f>26-25</f>
        <v>1</v>
      </c>
      <c r="H22" t="s">
        <v>3</v>
      </c>
      <c r="I22" s="25">
        <f>_xlfn.T.TEST(B22:G22,$B$25:$G$25,2,1)</f>
        <v>0.73599043228766492</v>
      </c>
      <c r="J22" t="str">
        <f t="shared" si="0"/>
        <v/>
      </c>
      <c r="K22">
        <f t="shared" si="1"/>
        <v>2.8333333333333335</v>
      </c>
      <c r="L22">
        <f t="shared" si="2"/>
        <v>1.6616591440819359</v>
      </c>
      <c r="M22" s="25">
        <v>0.46100000000000002</v>
      </c>
      <c r="N22" t="str">
        <f t="shared" si="3"/>
        <v/>
      </c>
    </row>
    <row r="23" spans="1:14" x14ac:dyDescent="0.3">
      <c r="A23" s="3" t="s">
        <v>29</v>
      </c>
      <c r="B23">
        <f>27-26</f>
        <v>1</v>
      </c>
      <c r="C23">
        <f>38-31</f>
        <v>7</v>
      </c>
      <c r="D23">
        <f>18-17</f>
        <v>1</v>
      </c>
      <c r="E23">
        <f>31-31</f>
        <v>0</v>
      </c>
      <c r="F23">
        <f>21-18</f>
        <v>3</v>
      </c>
      <c r="G23">
        <f>22-22</f>
        <v>0</v>
      </c>
      <c r="H23" t="s">
        <v>3</v>
      </c>
      <c r="I23" s="25">
        <f>_xlfn.T.TEST(B23:G23,$B$25:$G$25,2,1)</f>
        <v>0.94286945907495068</v>
      </c>
      <c r="J23" t="str">
        <f t="shared" si="0"/>
        <v/>
      </c>
      <c r="K23">
        <f t="shared" si="1"/>
        <v>2</v>
      </c>
      <c r="L23">
        <f t="shared" si="2"/>
        <v>1.0954451150103324</v>
      </c>
      <c r="M23" s="25">
        <v>0.78600000000000003</v>
      </c>
      <c r="N23" t="str">
        <f t="shared" si="3"/>
        <v/>
      </c>
    </row>
    <row r="24" spans="1:14" x14ac:dyDescent="0.3">
      <c r="A24" s="3" t="s">
        <v>48</v>
      </c>
      <c r="B24">
        <f>26-22</f>
        <v>4</v>
      </c>
      <c r="C24">
        <f>38-39</f>
        <v>-1</v>
      </c>
      <c r="D24">
        <f>19-20</f>
        <v>-1</v>
      </c>
      <c r="E24">
        <f>26-30</f>
        <v>-4</v>
      </c>
      <c r="F24">
        <f>23-19</f>
        <v>4</v>
      </c>
      <c r="G24">
        <f>27-25</f>
        <v>2</v>
      </c>
      <c r="H24" t="s">
        <v>3</v>
      </c>
      <c r="I24" s="25">
        <f>_xlfn.T.TEST(B24:G24,$B$25:$G$25,2,1)</f>
        <v>0.60835854311933524</v>
      </c>
      <c r="J24" t="str">
        <f t="shared" si="0"/>
        <v/>
      </c>
      <c r="K24">
        <f t="shared" si="1"/>
        <v>0.66666666666666663</v>
      </c>
      <c r="L24">
        <f t="shared" si="2"/>
        <v>1.3080944580232392</v>
      </c>
      <c r="M24" s="25">
        <v>0.4</v>
      </c>
      <c r="N24" t="str">
        <f t="shared" si="3"/>
        <v/>
      </c>
    </row>
    <row r="25" spans="1:14" x14ac:dyDescent="0.3">
      <c r="A25" s="3" t="s">
        <v>31</v>
      </c>
      <c r="B25">
        <f>24-17</f>
        <v>7</v>
      </c>
      <c r="C25">
        <f>30-30</f>
        <v>0</v>
      </c>
      <c r="D25">
        <f>20-19</f>
        <v>1</v>
      </c>
      <c r="E25">
        <f>29-24</f>
        <v>5</v>
      </c>
      <c r="F25">
        <f>24-27</f>
        <v>-3</v>
      </c>
      <c r="G25">
        <f>31-30</f>
        <v>1</v>
      </c>
      <c r="H25">
        <f>29-32</f>
        <v>-3</v>
      </c>
      <c r="I25" t="s">
        <v>6</v>
      </c>
      <c r="K25">
        <f t="shared" si="1"/>
        <v>1.8333333333333333</v>
      </c>
      <c r="L25">
        <f t="shared" si="2"/>
        <v>1.4700718047466632</v>
      </c>
    </row>
    <row r="26" spans="1:14" x14ac:dyDescent="0.3">
      <c r="A26" s="2" t="s">
        <v>30</v>
      </c>
      <c r="B26">
        <f>24-28</f>
        <v>-4</v>
      </c>
      <c r="C26">
        <f>35-33</f>
        <v>2</v>
      </c>
      <c r="D26">
        <f>16-17</f>
        <v>-1</v>
      </c>
      <c r="E26">
        <f>26-27</f>
        <v>-1</v>
      </c>
      <c r="F26">
        <f>26-28</f>
        <v>-2</v>
      </c>
      <c r="G26">
        <f>19-25</f>
        <v>-6</v>
      </c>
      <c r="H26">
        <f>27-24</f>
        <v>3</v>
      </c>
      <c r="I26" t="s">
        <v>6</v>
      </c>
      <c r="K26">
        <f t="shared" si="1"/>
        <v>-2</v>
      </c>
      <c r="L26">
        <f t="shared" si="2"/>
        <v>1.1254628677422756</v>
      </c>
    </row>
  </sheetData>
  <pageMargins left="0.7" right="0.7" top="0.75" bottom="0.75" header="0.3" footer="0.3"/>
  <ignoredErrors>
    <ignoredError sqref="I20 I10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zoomScale="99" zoomScaleNormal="99" workbookViewId="0">
      <selection activeCell="A16" sqref="A16"/>
    </sheetView>
  </sheetViews>
  <sheetFormatPr defaultRowHeight="14.4" x14ac:dyDescent="0.3"/>
  <cols>
    <col min="1" max="1" width="28.77734375" customWidth="1"/>
    <col min="2" max="8" width="10.77734375" customWidth="1"/>
    <col min="9" max="9" width="12.77734375" customWidth="1"/>
    <col min="10" max="10" width="11.5546875" customWidth="1"/>
    <col min="11" max="12" width="10.77734375" customWidth="1"/>
    <col min="14" max="14" width="11.33203125" customWidth="1"/>
    <col min="15" max="15" width="25.5546875" customWidth="1"/>
    <col min="16" max="16" width="12.21875" customWidth="1"/>
    <col min="17" max="17" width="29.109375" customWidth="1"/>
    <col min="18" max="18" width="11.33203125" customWidth="1"/>
  </cols>
  <sheetData>
    <row r="1" spans="1:18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42</v>
      </c>
      <c r="J1" s="7" t="s">
        <v>15</v>
      </c>
      <c r="K1" s="7" t="s">
        <v>12</v>
      </c>
      <c r="L1" s="7" t="s">
        <v>13</v>
      </c>
      <c r="M1" s="7" t="s">
        <v>41</v>
      </c>
      <c r="N1" s="7" t="s">
        <v>15</v>
      </c>
      <c r="O1" s="7" t="s">
        <v>43</v>
      </c>
      <c r="P1" s="7" t="s">
        <v>15</v>
      </c>
      <c r="Q1" s="7" t="s">
        <v>44</v>
      </c>
      <c r="R1" s="7" t="s">
        <v>15</v>
      </c>
    </row>
    <row r="2" spans="1:18" x14ac:dyDescent="0.3">
      <c r="A2" s="3" t="s">
        <v>16</v>
      </c>
      <c r="B2">
        <f>30-18</f>
        <v>12</v>
      </c>
      <c r="C2">
        <f>17-22</f>
        <v>-5</v>
      </c>
      <c r="D2">
        <f>26-18</f>
        <v>8</v>
      </c>
      <c r="E2">
        <f>37-23</f>
        <v>14</v>
      </c>
      <c r="F2">
        <f>12-16</f>
        <v>-4</v>
      </c>
      <c r="G2">
        <f>20-26</f>
        <v>-6</v>
      </c>
      <c r="H2">
        <f>49-41</f>
        <v>8</v>
      </c>
      <c r="I2" s="25">
        <f>_xlfn.T.TEST(B2:H2,$B$25:$H$25,2,1)</f>
        <v>0.11623155491843093</v>
      </c>
      <c r="J2" t="str">
        <f>IF(I2&lt;=0.05,IF(I2&lt;0.01,IF(I2&lt;0.001,"***","**"),"*"),"")</f>
        <v/>
      </c>
      <c r="K2">
        <f t="shared" ref="K2:K14" si="0">AVERAGE(B2:G2)</f>
        <v>3.1666666666666665</v>
      </c>
      <c r="L2">
        <f t="shared" ref="L2:L14" si="1">STDEV(B2:G2)/SQRT(7)</f>
        <v>3.4675365209049378</v>
      </c>
      <c r="M2" s="25">
        <v>0.17299999999999999</v>
      </c>
      <c r="N2" t="str">
        <f>IF(M2&lt;=0.05,IF(M2&lt;0.01,IF(M2&lt;0.001,"***","**"),"*"),"")</f>
        <v/>
      </c>
      <c r="O2" s="14">
        <v>4.8899999999999999E-2</v>
      </c>
      <c r="P2" s="7" t="str">
        <f>IF(O2&lt;=0.05,IF(O2&lt;0.01,IF(O2&lt;0.001,"***","**"),"*"),"")</f>
        <v>*</v>
      </c>
      <c r="Q2" s="14">
        <v>1.8100000000000002E-2</v>
      </c>
      <c r="R2" s="7" t="str">
        <f>IF(Q2&lt;=0.05,IF(Q2&lt;0.01,IF(Q2&lt;0.001,"***","**"),"*"),"")</f>
        <v>*</v>
      </c>
    </row>
    <row r="3" spans="1:18" ht="14.4" customHeight="1" x14ac:dyDescent="0.3">
      <c r="A3" s="6" t="s">
        <v>17</v>
      </c>
      <c r="B3">
        <f>36-41</f>
        <v>-5</v>
      </c>
      <c r="C3">
        <f>49-56</f>
        <v>-7</v>
      </c>
      <c r="D3">
        <f>21-12</f>
        <v>9</v>
      </c>
      <c r="E3">
        <f>37-22</f>
        <v>15</v>
      </c>
      <c r="F3">
        <f>15-7</f>
        <v>8</v>
      </c>
      <c r="G3">
        <f>21-11</f>
        <v>10</v>
      </c>
      <c r="H3">
        <f>21-27</f>
        <v>-6</v>
      </c>
      <c r="I3" s="25">
        <f>_xlfn.T.TEST(B3:H3,$B$26:$H$26,2,1)</f>
        <v>0.62779113669990283</v>
      </c>
      <c r="J3" t="str">
        <f t="shared" ref="J3:J24" si="2">IF(I3&lt;=0.05,IF(I3&lt;0.01,IF(I3&lt;0.001,"***","**"),"*"),"")</f>
        <v/>
      </c>
      <c r="K3">
        <f t="shared" si="0"/>
        <v>5</v>
      </c>
      <c r="L3">
        <f t="shared" si="1"/>
        <v>3.3551665915633544</v>
      </c>
      <c r="M3" s="25">
        <v>0.498</v>
      </c>
      <c r="N3" t="str">
        <f t="shared" ref="N3:N24" si="3">IF(M3&lt;=0.05,IF(M3&lt;0.01,IF(M3&lt;0.001,"***","**"),"*"),"")</f>
        <v/>
      </c>
      <c r="O3" s="13">
        <v>0.56089999999999995</v>
      </c>
      <c r="P3" s="7" t="str">
        <f t="shared" ref="P3:P26" si="4">IF(O3&lt;=0.05,IF(O3&lt;0.01,IF(O3&lt;0.001,"***","**"),"*"),"")</f>
        <v/>
      </c>
      <c r="Q3" s="16">
        <v>0.68469999999999998</v>
      </c>
      <c r="R3" s="7" t="str">
        <f t="shared" ref="R3:R26" si="5">IF(Q3&lt;=0.05,IF(Q3&lt;0.01,IF(Q3&lt;0.001,"***","**"),"*"),"")</f>
        <v/>
      </c>
    </row>
    <row r="4" spans="1:18" x14ac:dyDescent="0.3">
      <c r="A4" s="2" t="s">
        <v>18</v>
      </c>
      <c r="B4">
        <f>40-19</f>
        <v>21</v>
      </c>
      <c r="C4">
        <f>58-48</f>
        <v>10</v>
      </c>
      <c r="D4">
        <f>36-16</f>
        <v>20</v>
      </c>
      <c r="E4">
        <f>30-19</f>
        <v>11</v>
      </c>
      <c r="F4">
        <f>20-10</f>
        <v>10</v>
      </c>
      <c r="G4">
        <f>19-14</f>
        <v>5</v>
      </c>
      <c r="H4">
        <f>48-35</f>
        <v>13</v>
      </c>
      <c r="I4" s="27">
        <f>_xlfn.T.TEST(B4:H4,$B$26:$H$26,2,1)</f>
        <v>4.7064695489212049E-3</v>
      </c>
      <c r="J4" s="1" t="str">
        <f t="shared" si="2"/>
        <v>**</v>
      </c>
      <c r="K4">
        <f t="shared" si="0"/>
        <v>12.833333333333334</v>
      </c>
      <c r="L4">
        <f t="shared" si="1"/>
        <v>2.383474854273143</v>
      </c>
      <c r="M4" s="25">
        <v>1.7999999999999999E-2</v>
      </c>
      <c r="N4" t="str">
        <f t="shared" si="3"/>
        <v>*</v>
      </c>
      <c r="O4" s="14">
        <v>1.03E-2</v>
      </c>
      <c r="P4" s="7" t="str">
        <f t="shared" si="4"/>
        <v>*</v>
      </c>
      <c r="Q4" s="14">
        <v>3.5000000000000001E-3</v>
      </c>
      <c r="R4" s="7" t="str">
        <f t="shared" si="5"/>
        <v>**</v>
      </c>
    </row>
    <row r="5" spans="1:18" x14ac:dyDescent="0.3">
      <c r="A5" s="3" t="s">
        <v>21</v>
      </c>
      <c r="B5">
        <f>50-23</f>
        <v>27</v>
      </c>
      <c r="C5">
        <f>44-15</f>
        <v>29</v>
      </c>
      <c r="D5">
        <f>49-12</f>
        <v>37</v>
      </c>
      <c r="E5">
        <f>52-24</f>
        <v>28</v>
      </c>
      <c r="F5">
        <f>31-9</f>
        <v>22</v>
      </c>
      <c r="G5">
        <f>47-20</f>
        <v>27</v>
      </c>
      <c r="H5">
        <f>67-36</f>
        <v>31</v>
      </c>
      <c r="I5" s="27">
        <f>_xlfn.T.TEST(B5:H5,$B$25:$H$25,2,1)</f>
        <v>7.9766532829308637E-6</v>
      </c>
      <c r="J5" s="1" t="str">
        <f t="shared" si="2"/>
        <v>***</v>
      </c>
      <c r="K5">
        <f t="shared" si="0"/>
        <v>28.333333333333332</v>
      </c>
      <c r="L5">
        <f t="shared" si="1"/>
        <v>1.8464895909600467</v>
      </c>
      <c r="M5" s="25">
        <v>1.7999999999999999E-2</v>
      </c>
      <c r="N5" t="str">
        <f t="shared" si="3"/>
        <v>*</v>
      </c>
      <c r="O5" s="15" t="s">
        <v>45</v>
      </c>
      <c r="P5" s="7" t="s">
        <v>54</v>
      </c>
      <c r="Q5" s="14">
        <v>5.9999999999999995E-4</v>
      </c>
      <c r="R5" s="7" t="str">
        <f t="shared" si="5"/>
        <v>***</v>
      </c>
    </row>
    <row r="6" spans="1:18" x14ac:dyDescent="0.3">
      <c r="A6" s="3" t="s">
        <v>22</v>
      </c>
      <c r="B6">
        <f>54-17</f>
        <v>37</v>
      </c>
      <c r="C6">
        <f>82-33</f>
        <v>49</v>
      </c>
      <c r="D6">
        <f>41-12</f>
        <v>29</v>
      </c>
      <c r="E6">
        <f>35-15</f>
        <v>20</v>
      </c>
      <c r="F6">
        <f>42-18</f>
        <v>24</v>
      </c>
      <c r="G6">
        <f>47-18</f>
        <v>29</v>
      </c>
      <c r="H6">
        <f>67-35</f>
        <v>32</v>
      </c>
      <c r="I6" s="27">
        <f>_xlfn.T.TEST(B6:H6,$B$25:$H$25,2,1)</f>
        <v>1.603286357658589E-4</v>
      </c>
      <c r="J6" s="1" t="str">
        <f t="shared" si="2"/>
        <v>***</v>
      </c>
      <c r="K6">
        <f t="shared" si="0"/>
        <v>31.333333333333332</v>
      </c>
      <c r="L6">
        <f t="shared" si="1"/>
        <v>3.9182114481458177</v>
      </c>
      <c r="M6" s="25">
        <v>1.7999999999999999E-2</v>
      </c>
      <c r="N6" t="str">
        <f t="shared" si="3"/>
        <v>*</v>
      </c>
      <c r="O6" s="13">
        <v>0.74660000000000004</v>
      </c>
      <c r="P6" s="7" t="str">
        <f t="shared" si="4"/>
        <v/>
      </c>
      <c r="Q6" s="16">
        <v>0.3019</v>
      </c>
      <c r="R6" s="7" t="str">
        <f t="shared" si="5"/>
        <v/>
      </c>
    </row>
    <row r="7" spans="1:18" x14ac:dyDescent="0.3">
      <c r="A7" s="3" t="s">
        <v>23</v>
      </c>
      <c r="B7">
        <f>34-37</f>
        <v>-3</v>
      </c>
      <c r="C7">
        <f>15-22</f>
        <v>-7</v>
      </c>
      <c r="D7">
        <f>13-14</f>
        <v>-1</v>
      </c>
      <c r="E7">
        <f>25-28</f>
        <v>-3</v>
      </c>
      <c r="F7">
        <f>22-16</f>
        <v>6</v>
      </c>
      <c r="G7">
        <f>20-16</f>
        <v>4</v>
      </c>
      <c r="H7">
        <f>31-42</f>
        <v>-11</v>
      </c>
      <c r="I7" s="25">
        <f>_xlfn.T.TEST(B7:H7,$B$25:$H$25,2,1)</f>
        <v>0.89399101448783191</v>
      </c>
      <c r="J7" t="str">
        <f t="shared" si="2"/>
        <v/>
      </c>
      <c r="K7">
        <f t="shared" si="0"/>
        <v>-0.66666666666666663</v>
      </c>
      <c r="L7">
        <f t="shared" si="1"/>
        <v>1.8309508328682536</v>
      </c>
      <c r="M7" s="25">
        <v>1</v>
      </c>
      <c r="N7" t="str">
        <f t="shared" si="3"/>
        <v/>
      </c>
      <c r="O7" s="14">
        <v>1E-3</v>
      </c>
      <c r="P7" s="7" t="str">
        <f t="shared" si="4"/>
        <v>**</v>
      </c>
      <c r="Q7" s="14">
        <v>4.1000000000000003E-3</v>
      </c>
      <c r="R7" s="7" t="str">
        <f t="shared" si="5"/>
        <v>**</v>
      </c>
    </row>
    <row r="8" spans="1:18" x14ac:dyDescent="0.3">
      <c r="A8" s="3" t="s">
        <v>34</v>
      </c>
      <c r="B8">
        <f>36-21</f>
        <v>15</v>
      </c>
      <c r="C8">
        <f>17-19</f>
        <v>-2</v>
      </c>
      <c r="D8">
        <f>30-19</f>
        <v>11</v>
      </c>
      <c r="E8">
        <f>32-14</f>
        <v>18</v>
      </c>
      <c r="F8">
        <f>23-16</f>
        <v>7</v>
      </c>
      <c r="G8">
        <f>32-9</f>
        <v>23</v>
      </c>
      <c r="H8">
        <f>50-42</f>
        <v>8</v>
      </c>
      <c r="I8" s="27">
        <f>_xlfn.T.TEST(B8:H8,$B$25:$H$25,2,1)</f>
        <v>4.5260757445177721E-3</v>
      </c>
      <c r="J8" s="1" t="str">
        <f t="shared" si="2"/>
        <v>**</v>
      </c>
      <c r="K8">
        <f t="shared" si="0"/>
        <v>12</v>
      </c>
      <c r="L8">
        <f t="shared" si="1"/>
        <v>3.3295216301616493</v>
      </c>
      <c r="M8" s="25">
        <v>2.7E-2</v>
      </c>
      <c r="N8" t="str">
        <f t="shared" si="3"/>
        <v>*</v>
      </c>
      <c r="O8" s="13">
        <v>0.36309999999999998</v>
      </c>
      <c r="P8" s="7" t="str">
        <f t="shared" si="4"/>
        <v/>
      </c>
      <c r="Q8" s="16">
        <v>0.53500000000000003</v>
      </c>
      <c r="R8" s="7" t="str">
        <f t="shared" si="5"/>
        <v/>
      </c>
    </row>
    <row r="9" spans="1:18" x14ac:dyDescent="0.3">
      <c r="A9" s="3" t="s">
        <v>46</v>
      </c>
      <c r="B9">
        <f>37-29</f>
        <v>8</v>
      </c>
      <c r="C9">
        <f>10-12</f>
        <v>-2</v>
      </c>
      <c r="D9">
        <f>18-14</f>
        <v>4</v>
      </c>
      <c r="E9">
        <f>49-22</f>
        <v>27</v>
      </c>
      <c r="F9">
        <f>16-22</f>
        <v>-6</v>
      </c>
      <c r="G9">
        <f>14-16</f>
        <v>-2</v>
      </c>
      <c r="H9">
        <f>32-34</f>
        <v>-2</v>
      </c>
      <c r="I9" s="25">
        <f>_xlfn.T.TEST(B9:H9,$B$25:$H$25,2,1)</f>
        <v>0.16715907028526358</v>
      </c>
      <c r="J9" t="str">
        <f t="shared" si="2"/>
        <v/>
      </c>
      <c r="K9">
        <f t="shared" si="0"/>
        <v>4.833333333333333</v>
      </c>
      <c r="L9">
        <f t="shared" si="1"/>
        <v>4.5129443456203475</v>
      </c>
      <c r="M9" s="25">
        <v>0.11600000000000001</v>
      </c>
      <c r="N9" t="str">
        <f t="shared" si="3"/>
        <v/>
      </c>
      <c r="O9" s="13">
        <v>9.9599999999999994E-2</v>
      </c>
      <c r="P9" s="7" t="str">
        <f t="shared" si="4"/>
        <v/>
      </c>
      <c r="Q9" s="14">
        <v>2.3300000000000001E-2</v>
      </c>
      <c r="R9" s="7" t="str">
        <f t="shared" si="5"/>
        <v>*</v>
      </c>
    </row>
    <row r="10" spans="1:18" x14ac:dyDescent="0.3">
      <c r="A10" s="2" t="s">
        <v>47</v>
      </c>
      <c r="B10">
        <f>35-33</f>
        <v>2</v>
      </c>
      <c r="C10">
        <f>89-50</f>
        <v>39</v>
      </c>
      <c r="D10">
        <f>36-11</f>
        <v>25</v>
      </c>
      <c r="E10">
        <f>57-17</f>
        <v>40</v>
      </c>
      <c r="F10">
        <f>21-16</f>
        <v>5</v>
      </c>
      <c r="G10">
        <f>23-19</f>
        <v>4</v>
      </c>
      <c r="H10">
        <f>78-26</f>
        <v>52</v>
      </c>
      <c r="I10" s="27">
        <f>_xlfn.T.TEST(B10:H10,$B$26:$H$26,2,1)</f>
        <v>1.6776204584255036E-2</v>
      </c>
      <c r="J10" s="1" t="str">
        <f t="shared" si="2"/>
        <v>*</v>
      </c>
      <c r="K10">
        <f t="shared" si="0"/>
        <v>19.166666666666668</v>
      </c>
      <c r="L10">
        <f t="shared" si="1"/>
        <v>6.7333569070780168</v>
      </c>
      <c r="M10" s="25">
        <v>1.7999999999999999E-2</v>
      </c>
      <c r="N10" t="str">
        <f t="shared" si="3"/>
        <v>*</v>
      </c>
      <c r="O10" s="13">
        <v>0.18090000000000001</v>
      </c>
      <c r="P10" s="7" t="str">
        <f t="shared" si="4"/>
        <v/>
      </c>
      <c r="Q10" s="16">
        <v>0.31759999999999999</v>
      </c>
      <c r="R10" s="7" t="str">
        <f t="shared" si="5"/>
        <v/>
      </c>
    </row>
    <row r="11" spans="1:18" x14ac:dyDescent="0.3">
      <c r="A11" s="3" t="s">
        <v>39</v>
      </c>
      <c r="B11">
        <f>46-19</f>
        <v>27</v>
      </c>
      <c r="C11">
        <f>67-34</f>
        <v>33</v>
      </c>
      <c r="D11">
        <f>19-13</f>
        <v>6</v>
      </c>
      <c r="E11">
        <f>29-16</f>
        <v>13</v>
      </c>
      <c r="F11">
        <f>22-14</f>
        <v>8</v>
      </c>
      <c r="G11">
        <f>35-21</f>
        <v>14</v>
      </c>
      <c r="H11">
        <f>69-23</f>
        <v>46</v>
      </c>
      <c r="I11" s="27">
        <f>_xlfn.T.TEST(B11:H11,$B$25:$H$25,2,1)</f>
        <v>1.0199295632385055E-2</v>
      </c>
      <c r="J11" s="1" t="str">
        <f t="shared" si="2"/>
        <v>*</v>
      </c>
      <c r="K11">
        <f t="shared" si="0"/>
        <v>16.833333333333332</v>
      </c>
      <c r="L11">
        <f t="shared" si="1"/>
        <v>4.0807328940254033</v>
      </c>
      <c r="M11" s="25">
        <v>1.7999999999999999E-2</v>
      </c>
      <c r="N11" t="str">
        <f t="shared" si="3"/>
        <v>*</v>
      </c>
      <c r="O11" s="13">
        <v>0.76980000000000004</v>
      </c>
      <c r="P11" s="7" t="str">
        <f t="shared" si="4"/>
        <v/>
      </c>
      <c r="Q11" s="16">
        <v>0.83330000000000004</v>
      </c>
      <c r="R11" s="7" t="str">
        <f t="shared" si="5"/>
        <v/>
      </c>
    </row>
    <row r="12" spans="1:18" x14ac:dyDescent="0.3">
      <c r="A12" s="3" t="s">
        <v>19</v>
      </c>
      <c r="B12">
        <f>38-19</f>
        <v>19</v>
      </c>
      <c r="C12">
        <f>14-20</f>
        <v>-6</v>
      </c>
      <c r="D12">
        <f>37-19</f>
        <v>18</v>
      </c>
      <c r="E12">
        <f>35-16</f>
        <v>19</v>
      </c>
      <c r="F12">
        <f>41-19</f>
        <v>22</v>
      </c>
      <c r="G12">
        <f>32-15</f>
        <v>17</v>
      </c>
      <c r="H12">
        <f>51-34</f>
        <v>17</v>
      </c>
      <c r="I12" s="25">
        <f>_xlfn.T.TEST(B12:H12,$B$25:$H$25,2,1)</f>
        <v>3.1879015397016817E-3</v>
      </c>
      <c r="J12" t="str">
        <f t="shared" si="2"/>
        <v>**</v>
      </c>
      <c r="K12">
        <f t="shared" si="0"/>
        <v>14.833333333333334</v>
      </c>
      <c r="L12">
        <f t="shared" si="1"/>
        <v>3.9090858753617037</v>
      </c>
      <c r="M12" s="27">
        <v>2.7E-2</v>
      </c>
      <c r="N12" s="1" t="str">
        <f t="shared" si="3"/>
        <v>*</v>
      </c>
      <c r="O12" s="14">
        <v>3.2000000000000002E-3</v>
      </c>
      <c r="P12" s="7" t="str">
        <f t="shared" si="4"/>
        <v>**</v>
      </c>
      <c r="Q12" s="14">
        <v>1.7500000000000002E-2</v>
      </c>
      <c r="R12" s="7" t="str">
        <f t="shared" si="5"/>
        <v>*</v>
      </c>
    </row>
    <row r="13" spans="1:18" x14ac:dyDescent="0.3">
      <c r="A13" s="3" t="s">
        <v>20</v>
      </c>
      <c r="B13">
        <f>47-25</f>
        <v>22</v>
      </c>
      <c r="C13">
        <f>69-46</f>
        <v>23</v>
      </c>
      <c r="D13">
        <f>48-12</f>
        <v>36</v>
      </c>
      <c r="E13">
        <f>55-15</f>
        <v>40</v>
      </c>
      <c r="F13">
        <f>40-20</f>
        <v>20</v>
      </c>
      <c r="G13">
        <f>45-14</f>
        <v>31</v>
      </c>
      <c r="H13">
        <f>47-17</f>
        <v>30</v>
      </c>
      <c r="I13" s="27">
        <f t="shared" ref="I13:I14" si="6">_xlfn.T.TEST(B13:H13,$B$25:$H$25,2,1)</f>
        <v>3.4739334353393185E-5</v>
      </c>
      <c r="J13" s="1" t="str">
        <f t="shared" si="2"/>
        <v>***</v>
      </c>
      <c r="K13">
        <f t="shared" si="0"/>
        <v>28.666666666666668</v>
      </c>
      <c r="L13">
        <f t="shared" si="1"/>
        <v>3.1137177288954896</v>
      </c>
      <c r="M13" s="25">
        <v>1.7999999999999999E-2</v>
      </c>
      <c r="N13" t="str">
        <f t="shared" si="3"/>
        <v>*</v>
      </c>
      <c r="O13" s="15" t="s">
        <v>45</v>
      </c>
      <c r="P13" s="7" t="s">
        <v>54</v>
      </c>
      <c r="Q13" s="14">
        <v>5.9999999999999995E-4</v>
      </c>
      <c r="R13" s="7" t="str">
        <f t="shared" si="5"/>
        <v>***</v>
      </c>
    </row>
    <row r="14" spans="1:18" x14ac:dyDescent="0.3">
      <c r="A14" s="3" t="s">
        <v>36</v>
      </c>
      <c r="B14">
        <f>53-26</f>
        <v>27</v>
      </c>
      <c r="C14">
        <f>70-49</f>
        <v>21</v>
      </c>
      <c r="D14">
        <f>27-7</f>
        <v>20</v>
      </c>
      <c r="E14">
        <f>31-14</f>
        <v>17</v>
      </c>
      <c r="F14">
        <f>36-14</f>
        <v>22</v>
      </c>
      <c r="G14">
        <f>53-17</f>
        <v>36</v>
      </c>
      <c r="H14">
        <f>78-51</f>
        <v>27</v>
      </c>
      <c r="I14" s="27">
        <f t="shared" si="6"/>
        <v>1.2515404868159832E-4</v>
      </c>
      <c r="J14" s="1" t="str">
        <f t="shared" si="2"/>
        <v>***</v>
      </c>
      <c r="K14">
        <f t="shared" si="0"/>
        <v>23.833333333333332</v>
      </c>
      <c r="L14">
        <f t="shared" si="1"/>
        <v>2.5681195640464445</v>
      </c>
      <c r="M14" s="25">
        <v>1.7999999999999999E-2</v>
      </c>
      <c r="N14" t="str">
        <f t="shared" si="3"/>
        <v>*</v>
      </c>
      <c r="O14" s="14">
        <v>7.6E-3</v>
      </c>
      <c r="P14" s="7" t="str">
        <f t="shared" si="4"/>
        <v>**</v>
      </c>
      <c r="Q14" s="14">
        <v>6.4000000000000003E-3</v>
      </c>
      <c r="R14" s="7" t="str">
        <f t="shared" si="5"/>
        <v>**</v>
      </c>
    </row>
    <row r="15" spans="1:18" x14ac:dyDescent="0.3">
      <c r="A15" s="3" t="s">
        <v>24</v>
      </c>
      <c r="B15">
        <f>33-31</f>
        <v>2</v>
      </c>
      <c r="C15">
        <f>15-17</f>
        <v>-2</v>
      </c>
      <c r="D15">
        <f>14-11</f>
        <v>3</v>
      </c>
      <c r="E15">
        <f>26-31</f>
        <v>-5</v>
      </c>
      <c r="F15">
        <f>11-19</f>
        <v>-8</v>
      </c>
      <c r="G15">
        <f>20-17</f>
        <v>3</v>
      </c>
      <c r="H15" t="s">
        <v>3</v>
      </c>
      <c r="I15" s="25">
        <f>_xlfn.T.TEST(B15:G15,$B$25:$G$25,2,1)</f>
        <v>1</v>
      </c>
      <c r="J15" t="str">
        <f t="shared" si="2"/>
        <v/>
      </c>
      <c r="K15">
        <f>AVERAGE(B15:C15,D15:G15)</f>
        <v>-1.1666666666666667</v>
      </c>
      <c r="L15">
        <f>STDEV(B15:C15,D15:G15)/SQRT(6)</f>
        <v>1.8870906472957549</v>
      </c>
      <c r="M15" s="25">
        <v>0.68400000000000005</v>
      </c>
      <c r="N15" t="str">
        <f t="shared" si="3"/>
        <v/>
      </c>
      <c r="O15" s="13">
        <v>0.2472</v>
      </c>
      <c r="P15" s="7" t="str">
        <f t="shared" si="4"/>
        <v/>
      </c>
      <c r="Q15" s="16">
        <v>0.31240000000000001</v>
      </c>
      <c r="R15" s="7" t="str">
        <f t="shared" si="5"/>
        <v/>
      </c>
    </row>
    <row r="16" spans="1:18" x14ac:dyDescent="0.3">
      <c r="A16" s="3" t="s">
        <v>57</v>
      </c>
      <c r="B16">
        <f>52-20</f>
        <v>32</v>
      </c>
      <c r="C16">
        <f>22-19</f>
        <v>3</v>
      </c>
      <c r="D16">
        <f>28-9</f>
        <v>19</v>
      </c>
      <c r="E16">
        <f>26-15</f>
        <v>11</v>
      </c>
      <c r="F16">
        <f>18-14</f>
        <v>4</v>
      </c>
      <c r="G16">
        <f>37-12</f>
        <v>25</v>
      </c>
      <c r="H16">
        <f>50-37</f>
        <v>13</v>
      </c>
      <c r="I16" s="27">
        <f>_xlfn.T.TEST(B16:H16,$B$25:$H$25,2,1)</f>
        <v>6.6517435774823379E-3</v>
      </c>
      <c r="J16" s="1" t="str">
        <f t="shared" si="2"/>
        <v>**</v>
      </c>
      <c r="K16">
        <f t="shared" ref="K16:K26" si="7">AVERAGE(B16:G16)</f>
        <v>15.666666666666666</v>
      </c>
      <c r="L16">
        <f t="shared" ref="L16:L26" si="8">STDEV(B16:G16)/SQRT(7)</f>
        <v>4.4185755084426832</v>
      </c>
      <c r="M16" s="25">
        <v>1.7999999999999999E-2</v>
      </c>
      <c r="N16" t="str">
        <f t="shared" si="3"/>
        <v>*</v>
      </c>
      <c r="O16" s="13">
        <v>0.16200000000000001</v>
      </c>
      <c r="P16" s="7" t="str">
        <f t="shared" si="4"/>
        <v/>
      </c>
      <c r="Q16" s="16">
        <v>0.17599999999999999</v>
      </c>
      <c r="R16" s="7" t="str">
        <f t="shared" si="5"/>
        <v/>
      </c>
    </row>
    <row r="17" spans="1:18" x14ac:dyDescent="0.3">
      <c r="A17" s="2" t="s">
        <v>25</v>
      </c>
      <c r="B17">
        <f>32-29</f>
        <v>3</v>
      </c>
      <c r="C17">
        <f>21-23</f>
        <v>-2</v>
      </c>
      <c r="D17">
        <f>17-17</f>
        <v>0</v>
      </c>
      <c r="E17">
        <f>15-14</f>
        <v>1</v>
      </c>
      <c r="F17">
        <f>19-17</f>
        <v>2</v>
      </c>
      <c r="G17">
        <f>21-19</f>
        <v>2</v>
      </c>
      <c r="H17">
        <f>37-45</f>
        <v>-8</v>
      </c>
      <c r="I17" s="25">
        <f>_xlfn.T.TEST(B17:H17,$B$26:$H$26,2,1)</f>
        <v>0.66876709344789043</v>
      </c>
      <c r="J17" t="str">
        <f t="shared" si="2"/>
        <v/>
      </c>
      <c r="K17">
        <f t="shared" si="7"/>
        <v>1</v>
      </c>
      <c r="L17">
        <f t="shared" si="8"/>
        <v>0.67612340378281321</v>
      </c>
      <c r="M17" s="25">
        <v>0.91700000000000004</v>
      </c>
      <c r="N17" t="str">
        <f t="shared" si="3"/>
        <v/>
      </c>
      <c r="O17" s="13">
        <v>0.13619999999999999</v>
      </c>
      <c r="P17" s="7" t="str">
        <f t="shared" si="4"/>
        <v/>
      </c>
      <c r="Q17" s="16">
        <v>0.19289999999999999</v>
      </c>
      <c r="R17" s="7" t="str">
        <f t="shared" si="5"/>
        <v/>
      </c>
    </row>
    <row r="18" spans="1:18" x14ac:dyDescent="0.3">
      <c r="A18" s="2" t="s">
        <v>33</v>
      </c>
      <c r="B18">
        <f>19-26</f>
        <v>-7</v>
      </c>
      <c r="C18">
        <f>14-14</f>
        <v>0</v>
      </c>
      <c r="D18">
        <f>15-17</f>
        <v>-2</v>
      </c>
      <c r="E18">
        <f>15-21</f>
        <v>-6</v>
      </c>
      <c r="F18">
        <f>10-14</f>
        <v>-4</v>
      </c>
      <c r="G18">
        <f>16-20</f>
        <v>-4</v>
      </c>
      <c r="H18">
        <f>38-40</f>
        <v>-2</v>
      </c>
      <c r="I18" s="27">
        <f>_xlfn.T.TEST(B18:H18,$B$26:$H$26,2,1)</f>
        <v>1.9483195668697877E-2</v>
      </c>
      <c r="J18" s="35" t="str">
        <f t="shared" si="2"/>
        <v>*</v>
      </c>
      <c r="K18">
        <f t="shared" si="7"/>
        <v>-3.8333333333333335</v>
      </c>
      <c r="L18">
        <f t="shared" si="8"/>
        <v>0.9685531674075708</v>
      </c>
      <c r="M18" s="25">
        <v>3.4000000000000002E-2</v>
      </c>
      <c r="N18" t="str">
        <f t="shared" si="3"/>
        <v>*</v>
      </c>
      <c r="O18" s="13">
        <v>0.76470000000000005</v>
      </c>
      <c r="P18" s="7" t="str">
        <f t="shared" si="4"/>
        <v/>
      </c>
      <c r="Q18" s="16">
        <v>0.60140000000000005</v>
      </c>
      <c r="R18" s="7" t="str">
        <f t="shared" si="5"/>
        <v/>
      </c>
    </row>
    <row r="19" spans="1:18" x14ac:dyDescent="0.3">
      <c r="A19" s="3" t="s">
        <v>26</v>
      </c>
      <c r="B19">
        <f>16-10</f>
        <v>6</v>
      </c>
      <c r="C19">
        <f>20-19</f>
        <v>1</v>
      </c>
      <c r="D19">
        <f>12-13</f>
        <v>-1</v>
      </c>
      <c r="E19">
        <f>12-30</f>
        <v>-18</v>
      </c>
      <c r="F19">
        <f>16-15</f>
        <v>1</v>
      </c>
      <c r="G19">
        <f>18-15</f>
        <v>3</v>
      </c>
      <c r="H19">
        <f>54-45</f>
        <v>9</v>
      </c>
      <c r="I19" s="25">
        <f>_xlfn.T.TEST(B19:H19,$B$25:$H$25,2,1)</f>
        <v>0.64066445600279032</v>
      </c>
      <c r="J19" t="str">
        <f t="shared" si="2"/>
        <v/>
      </c>
      <c r="K19">
        <f t="shared" si="7"/>
        <v>-1.3333333333333333</v>
      </c>
      <c r="L19">
        <f t="shared" si="8"/>
        <v>3.2130685526159448</v>
      </c>
      <c r="M19" s="25">
        <v>0.23699999999999999</v>
      </c>
      <c r="N19" t="str">
        <f t="shared" si="3"/>
        <v/>
      </c>
      <c r="O19" s="13">
        <v>0.43359999999999999</v>
      </c>
      <c r="P19" s="7" t="str">
        <f t="shared" si="4"/>
        <v/>
      </c>
      <c r="Q19" s="16">
        <v>0.97550000000000003</v>
      </c>
      <c r="R19" s="7" t="str">
        <f t="shared" si="5"/>
        <v/>
      </c>
    </row>
    <row r="20" spans="1:18" x14ac:dyDescent="0.3">
      <c r="A20" s="3" t="s">
        <v>37</v>
      </c>
      <c r="B20">
        <f>27-23</f>
        <v>4</v>
      </c>
      <c r="C20">
        <f>16-19</f>
        <v>-3</v>
      </c>
      <c r="D20">
        <f>19-9</f>
        <v>10</v>
      </c>
      <c r="E20">
        <f>19-15</f>
        <v>4</v>
      </c>
      <c r="F20">
        <f>10-22</f>
        <v>-12</v>
      </c>
      <c r="G20">
        <f>31-15</f>
        <v>16</v>
      </c>
      <c r="H20">
        <f>46-43</f>
        <v>3</v>
      </c>
      <c r="I20" s="25">
        <f t="shared" ref="I20:I24" si="9">_xlfn.T.TEST(B20:H20,$B$25:$H$25,2,1)</f>
        <v>0.2206655476150404</v>
      </c>
      <c r="J20" t="str">
        <f t="shared" si="2"/>
        <v/>
      </c>
      <c r="K20">
        <f t="shared" si="7"/>
        <v>3.1666666666666665</v>
      </c>
      <c r="L20">
        <f t="shared" si="8"/>
        <v>3.7064936581755048</v>
      </c>
      <c r="M20" s="25">
        <v>0.17599999999999999</v>
      </c>
      <c r="N20" t="str">
        <f t="shared" si="3"/>
        <v/>
      </c>
      <c r="O20" s="13">
        <v>0.72770000000000001</v>
      </c>
      <c r="P20" s="7" t="str">
        <f t="shared" si="4"/>
        <v/>
      </c>
      <c r="Q20" s="16">
        <v>0.73250000000000004</v>
      </c>
      <c r="R20" s="7" t="str">
        <f t="shared" si="5"/>
        <v/>
      </c>
    </row>
    <row r="21" spans="1:18" x14ac:dyDescent="0.3">
      <c r="A21" s="3" t="s">
        <v>27</v>
      </c>
      <c r="B21">
        <f>21-14</f>
        <v>7</v>
      </c>
      <c r="C21">
        <f>19-18</f>
        <v>1</v>
      </c>
      <c r="D21">
        <f>12-12</f>
        <v>0</v>
      </c>
      <c r="E21">
        <f>19-18</f>
        <v>1</v>
      </c>
      <c r="F21">
        <f>10-9</f>
        <v>1</v>
      </c>
      <c r="G21">
        <f>22-13</f>
        <v>9</v>
      </c>
      <c r="H21">
        <f>41-48</f>
        <v>-7</v>
      </c>
      <c r="I21" s="25">
        <f t="shared" si="9"/>
        <v>9.6041027621411298E-2</v>
      </c>
      <c r="J21" t="str">
        <f t="shared" si="2"/>
        <v/>
      </c>
      <c r="K21">
        <f t="shared" si="7"/>
        <v>3.1666666666666665</v>
      </c>
      <c r="L21">
        <f t="shared" si="8"/>
        <v>1.4425506510872956</v>
      </c>
      <c r="M21" s="25">
        <v>6.2E-2</v>
      </c>
      <c r="N21" t="str">
        <f t="shared" si="3"/>
        <v/>
      </c>
      <c r="O21" s="13">
        <v>0.25</v>
      </c>
      <c r="P21" s="7" t="str">
        <f t="shared" si="4"/>
        <v/>
      </c>
      <c r="Q21" s="16">
        <v>0.58740000000000003</v>
      </c>
      <c r="R21" s="7" t="str">
        <f t="shared" si="5"/>
        <v/>
      </c>
    </row>
    <row r="22" spans="1:18" x14ac:dyDescent="0.3">
      <c r="A22" s="3" t="s">
        <v>28</v>
      </c>
      <c r="B22">
        <f>22-16</f>
        <v>6</v>
      </c>
      <c r="C22">
        <f>16-23</f>
        <v>-7</v>
      </c>
      <c r="D22">
        <f>10-17</f>
        <v>-7</v>
      </c>
      <c r="E22">
        <f>14-27</f>
        <v>-13</v>
      </c>
      <c r="F22">
        <f>11-16</f>
        <v>-5</v>
      </c>
      <c r="G22">
        <f>19-13</f>
        <v>6</v>
      </c>
      <c r="H22">
        <f>38-47</f>
        <v>-9</v>
      </c>
      <c r="I22" s="25">
        <f t="shared" si="9"/>
        <v>0.48340114523317712</v>
      </c>
      <c r="J22" t="str">
        <f t="shared" si="2"/>
        <v/>
      </c>
      <c r="K22">
        <f t="shared" si="7"/>
        <v>-3.3333333333333335</v>
      </c>
      <c r="L22">
        <f t="shared" si="8"/>
        <v>2.9146591730832085</v>
      </c>
      <c r="M22" s="25">
        <v>0.61099999999999999</v>
      </c>
      <c r="N22" t="str">
        <f t="shared" si="3"/>
        <v/>
      </c>
      <c r="O22" s="13">
        <v>6.3899999999999998E-2</v>
      </c>
      <c r="P22" s="7" t="str">
        <f t="shared" si="4"/>
        <v/>
      </c>
      <c r="Q22" s="16">
        <v>6.5299999999999997E-2</v>
      </c>
      <c r="R22" s="7" t="str">
        <f t="shared" si="5"/>
        <v/>
      </c>
    </row>
    <row r="23" spans="1:18" x14ac:dyDescent="0.3">
      <c r="A23" s="3" t="s">
        <v>29</v>
      </c>
      <c r="B23">
        <f>15-15</f>
        <v>0</v>
      </c>
      <c r="C23">
        <f>18-19</f>
        <v>-1</v>
      </c>
      <c r="D23">
        <f>19-13</f>
        <v>6</v>
      </c>
      <c r="E23">
        <f>21-22</f>
        <v>-1</v>
      </c>
      <c r="F23">
        <f>23-8</f>
        <v>15</v>
      </c>
      <c r="G23">
        <f>18-20</f>
        <v>-2</v>
      </c>
      <c r="H23">
        <f>35-35</f>
        <v>0</v>
      </c>
      <c r="I23" s="25">
        <f t="shared" si="9"/>
        <v>0.12280297339675079</v>
      </c>
      <c r="J23" t="str">
        <f t="shared" si="2"/>
        <v/>
      </c>
      <c r="K23">
        <f t="shared" si="7"/>
        <v>2.8333333333333335</v>
      </c>
      <c r="L23">
        <f t="shared" si="8"/>
        <v>2.5004761451333528</v>
      </c>
      <c r="M23" s="25">
        <v>8.8999999999999996E-2</v>
      </c>
      <c r="N23" t="str">
        <f t="shared" si="3"/>
        <v/>
      </c>
      <c r="O23" s="13">
        <v>0.87739999999999996</v>
      </c>
      <c r="P23" s="7" t="str">
        <f t="shared" si="4"/>
        <v/>
      </c>
      <c r="Q23" s="16">
        <v>0.26979999999999998</v>
      </c>
      <c r="R23" s="7" t="str">
        <f t="shared" si="5"/>
        <v/>
      </c>
    </row>
    <row r="24" spans="1:18" x14ac:dyDescent="0.3">
      <c r="A24" s="3" t="s">
        <v>48</v>
      </c>
      <c r="B24">
        <f>17-21</f>
        <v>-4</v>
      </c>
      <c r="C24">
        <f>19-19</f>
        <v>0</v>
      </c>
      <c r="D24">
        <f>11-16</f>
        <v>-5</v>
      </c>
      <c r="E24">
        <f>19-17</f>
        <v>2</v>
      </c>
      <c r="F24">
        <f>6-8</f>
        <v>-2</v>
      </c>
      <c r="G24">
        <f>21-17</f>
        <v>4</v>
      </c>
      <c r="H24">
        <f>38-33</f>
        <v>5</v>
      </c>
      <c r="I24" s="25">
        <f t="shared" si="9"/>
        <v>0.3900707230728514</v>
      </c>
      <c r="J24" t="str">
        <f t="shared" si="2"/>
        <v/>
      </c>
      <c r="K24">
        <f t="shared" si="7"/>
        <v>-0.83333333333333337</v>
      </c>
      <c r="L24">
        <f t="shared" si="8"/>
        <v>1.3183683999911551</v>
      </c>
      <c r="M24" s="25">
        <v>0.59899999999999998</v>
      </c>
      <c r="N24" t="str">
        <f t="shared" si="3"/>
        <v/>
      </c>
      <c r="O24" s="13">
        <v>0.74439999999999995</v>
      </c>
      <c r="P24" s="7" t="str">
        <f t="shared" si="4"/>
        <v/>
      </c>
      <c r="Q24" s="16">
        <v>0.82520000000000004</v>
      </c>
      <c r="R24" s="7" t="str">
        <f t="shared" si="5"/>
        <v/>
      </c>
    </row>
    <row r="25" spans="1:18" x14ac:dyDescent="0.3">
      <c r="A25" s="3" t="s">
        <v>31</v>
      </c>
      <c r="B25">
        <f>23-24</f>
        <v>-1</v>
      </c>
      <c r="C25">
        <f>52-54</f>
        <v>-2</v>
      </c>
      <c r="D25">
        <f>12-14</f>
        <v>-2</v>
      </c>
      <c r="E25">
        <f>21-19</f>
        <v>2</v>
      </c>
      <c r="F25">
        <f>19-20</f>
        <v>-1</v>
      </c>
      <c r="G25">
        <f>13-16</f>
        <v>-3</v>
      </c>
      <c r="H25">
        <f>38-44</f>
        <v>-6</v>
      </c>
      <c r="I25" t="s">
        <v>6</v>
      </c>
      <c r="K25">
        <f t="shared" si="7"/>
        <v>-1.1666666666666667</v>
      </c>
      <c r="L25">
        <f t="shared" si="8"/>
        <v>0.65100654667178559</v>
      </c>
      <c r="O25" s="13">
        <v>0.1009</v>
      </c>
      <c r="P25" s="7" t="str">
        <f t="shared" si="4"/>
        <v/>
      </c>
      <c r="Q25" s="16">
        <v>0.19059999999999999</v>
      </c>
      <c r="R25" s="7" t="str">
        <f t="shared" si="5"/>
        <v/>
      </c>
    </row>
    <row r="26" spans="1:18" x14ac:dyDescent="0.3">
      <c r="A26" s="2" t="s">
        <v>30</v>
      </c>
      <c r="B26">
        <f>23-22</f>
        <v>1</v>
      </c>
      <c r="C26">
        <f>44-38</f>
        <v>6</v>
      </c>
      <c r="D26">
        <f>13-12</f>
        <v>1</v>
      </c>
      <c r="E26">
        <f>19-21</f>
        <v>-2</v>
      </c>
      <c r="F26">
        <f>13-20</f>
        <v>-7</v>
      </c>
      <c r="G26">
        <f>25-23</f>
        <v>2</v>
      </c>
      <c r="H26">
        <f>35-29</f>
        <v>6</v>
      </c>
      <c r="I26" t="s">
        <v>6</v>
      </c>
      <c r="K26">
        <f t="shared" si="7"/>
        <v>0.16666666666666666</v>
      </c>
      <c r="L26">
        <f t="shared" si="8"/>
        <v>1.6460631244043498</v>
      </c>
      <c r="O26" s="13">
        <v>0.29549999999999998</v>
      </c>
      <c r="P26" s="7" t="str">
        <f t="shared" si="4"/>
        <v/>
      </c>
      <c r="Q26" s="16">
        <v>0.36709999999999998</v>
      </c>
      <c r="R26" s="7" t="str">
        <f t="shared" si="5"/>
        <v/>
      </c>
    </row>
    <row r="28" spans="1:18" x14ac:dyDescent="0.3">
      <c r="A28" s="5"/>
    </row>
  </sheetData>
  <pageMargins left="0.7" right="0.7" top="0.75" bottom="0.75" header="0.3" footer="0.3"/>
  <pageSetup paperSize="9" orientation="portrait" r:id="rId1"/>
  <ignoredErrors>
    <ignoredError sqref="I10 I15 K15:L1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6"/>
  <sheetViews>
    <sheetView workbookViewId="0">
      <selection activeCell="A16" sqref="A16"/>
    </sheetView>
  </sheetViews>
  <sheetFormatPr defaultRowHeight="14.4" x14ac:dyDescent="0.3"/>
  <cols>
    <col min="1" max="1" width="28.77734375" customWidth="1"/>
    <col min="2" max="8" width="10.77734375" customWidth="1"/>
    <col min="9" max="9" width="12.77734375" customWidth="1"/>
    <col min="10" max="12" width="10.77734375" customWidth="1"/>
  </cols>
  <sheetData>
    <row r="1" spans="1:14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42</v>
      </c>
      <c r="J1" s="7" t="s">
        <v>11</v>
      </c>
      <c r="K1" s="7" t="s">
        <v>14</v>
      </c>
      <c r="L1" s="7" t="s">
        <v>13</v>
      </c>
      <c r="M1" s="7" t="s">
        <v>41</v>
      </c>
      <c r="N1" s="7" t="s">
        <v>15</v>
      </c>
    </row>
    <row r="2" spans="1:14" x14ac:dyDescent="0.3">
      <c r="A2" s="3" t="s">
        <v>16</v>
      </c>
      <c r="B2">
        <f>22-9</f>
        <v>13</v>
      </c>
      <c r="C2">
        <f>9-5</f>
        <v>4</v>
      </c>
      <c r="D2">
        <f>84-61</f>
        <v>23</v>
      </c>
      <c r="E2">
        <f>26-8</f>
        <v>18</v>
      </c>
      <c r="F2">
        <f>21-13</f>
        <v>8</v>
      </c>
      <c r="G2">
        <f>50-34</f>
        <v>16</v>
      </c>
      <c r="H2">
        <f>39-21</f>
        <v>18</v>
      </c>
      <c r="I2" s="30">
        <f>_xlfn.T.TEST(B2:H2,$B$25:$H$25,2,1)</f>
        <v>9.9499640954593574E-4</v>
      </c>
      <c r="J2" s="8" t="str">
        <f>IF(I2&lt;=0.05,IF(I2&lt;0.01,IF(I2&lt;0.001,"***","**"),"*"),"")</f>
        <v>***</v>
      </c>
      <c r="K2">
        <f>AVERAGE(B2:H2)</f>
        <v>14.285714285714286</v>
      </c>
      <c r="L2">
        <f>STDEV(B2:H2)/SQRT(67)</f>
        <v>0.79398950365346066</v>
      </c>
      <c r="M2" s="25">
        <v>1.7999999999999999E-2</v>
      </c>
      <c r="N2" t="str">
        <f>IF(M2&lt;=0.05,IF(M2&lt;0.01,IF(M2&lt;0.001,"***","**"),"*"),"")</f>
        <v>*</v>
      </c>
    </row>
    <row r="3" spans="1:14" ht="14.4" customHeight="1" x14ac:dyDescent="0.3">
      <c r="A3" s="6" t="s">
        <v>17</v>
      </c>
      <c r="B3">
        <f>12-10</f>
        <v>2</v>
      </c>
      <c r="C3">
        <f>12-9</f>
        <v>3</v>
      </c>
      <c r="D3">
        <f>44-45</f>
        <v>-1</v>
      </c>
      <c r="E3">
        <f>11-13</f>
        <v>-2</v>
      </c>
      <c r="F3">
        <f>7-4</f>
        <v>3</v>
      </c>
      <c r="G3">
        <f>33-39</f>
        <v>-6</v>
      </c>
      <c r="H3">
        <f>12-25</f>
        <v>-13</v>
      </c>
      <c r="I3" s="25">
        <f>_xlfn.T.TEST(B3:H3,$B$26:$H$26,2,1)</f>
        <v>0.75057662252897228</v>
      </c>
      <c r="J3" t="str">
        <f t="shared" ref="J3:J24" si="0">IF(I3&lt;=0.05,IF(I3&lt;0.01,IF(I3&lt;0.001,"***","**"),"*"),"")</f>
        <v/>
      </c>
      <c r="K3">
        <f t="shared" ref="K3:K26" si="1">AVERAGE(B3:H3)</f>
        <v>-2</v>
      </c>
      <c r="L3">
        <f t="shared" ref="L3:L26" si="2">STDEV(B3:H3)/SQRT(67)</f>
        <v>0.7123641530615954</v>
      </c>
      <c r="M3" s="25">
        <v>0.752</v>
      </c>
      <c r="N3" t="str">
        <f t="shared" ref="N3:N24" si="3">IF(M3&lt;=0.05,IF(M3&lt;0.01,IF(M3&lt;0.001,"***","**"),"*"),"")</f>
        <v/>
      </c>
    </row>
    <row r="4" spans="1:14" x14ac:dyDescent="0.3">
      <c r="A4" s="2" t="s">
        <v>18</v>
      </c>
      <c r="B4">
        <f>11-9</f>
        <v>2</v>
      </c>
      <c r="C4">
        <f>12-14</f>
        <v>-2</v>
      </c>
      <c r="D4">
        <f>45-55</f>
        <v>-10</v>
      </c>
      <c r="E4">
        <f>8-4</f>
        <v>4</v>
      </c>
      <c r="F4">
        <f>12-7</f>
        <v>5</v>
      </c>
      <c r="G4">
        <f>28-30</f>
        <v>-2</v>
      </c>
      <c r="H4">
        <f>7-24</f>
        <v>-17</v>
      </c>
      <c r="I4" s="25">
        <f>_xlfn.T.TEST(B4:H4,$B$26:$H$26,2,1)</f>
        <v>0.40903987879506332</v>
      </c>
      <c r="J4" t="str">
        <f t="shared" si="0"/>
        <v/>
      </c>
      <c r="K4">
        <f t="shared" si="1"/>
        <v>-2.8571428571428572</v>
      </c>
      <c r="L4">
        <f t="shared" si="2"/>
        <v>0.97844574543459573</v>
      </c>
      <c r="M4" s="25">
        <v>0.55200000000000005</v>
      </c>
      <c r="N4" t="str">
        <f t="shared" si="3"/>
        <v/>
      </c>
    </row>
    <row r="5" spans="1:14" x14ac:dyDescent="0.3">
      <c r="A5" s="3" t="s">
        <v>21</v>
      </c>
      <c r="B5">
        <f>14-8</f>
        <v>6</v>
      </c>
      <c r="C5">
        <f>4-9</f>
        <v>-5</v>
      </c>
      <c r="D5">
        <f>53-56</f>
        <v>-3</v>
      </c>
      <c r="E5">
        <f>17-19</f>
        <v>-2</v>
      </c>
      <c r="F5">
        <f>17-6</f>
        <v>11</v>
      </c>
      <c r="G5">
        <f>33-39</f>
        <v>-6</v>
      </c>
      <c r="H5">
        <f>37-20</f>
        <v>17</v>
      </c>
      <c r="I5" s="25">
        <f t="shared" ref="I5:I24" si="4">_xlfn.T.TEST(B5:H5,$B$25:$H$25,2,1)</f>
        <v>0.32830229007385159</v>
      </c>
      <c r="J5" t="str">
        <f t="shared" si="0"/>
        <v/>
      </c>
      <c r="K5">
        <f t="shared" si="1"/>
        <v>2.5714285714285716</v>
      </c>
      <c r="L5">
        <f t="shared" si="2"/>
        <v>1.0855384588110752</v>
      </c>
      <c r="M5" s="25">
        <v>0.39500000000000002</v>
      </c>
      <c r="N5" t="str">
        <f t="shared" si="3"/>
        <v/>
      </c>
    </row>
    <row r="6" spans="1:14" x14ac:dyDescent="0.3">
      <c r="A6" s="3" t="s">
        <v>22</v>
      </c>
      <c r="B6">
        <f>34-5</f>
        <v>29</v>
      </c>
      <c r="C6">
        <f>47-20</f>
        <v>27</v>
      </c>
      <c r="D6">
        <f>73-56</f>
        <v>17</v>
      </c>
      <c r="E6">
        <f>28-18</f>
        <v>10</v>
      </c>
      <c r="F6">
        <f>12-6</f>
        <v>6</v>
      </c>
      <c r="G6">
        <f>45-44</f>
        <v>1</v>
      </c>
      <c r="H6">
        <f>14-18</f>
        <v>-4</v>
      </c>
      <c r="I6" s="30">
        <f t="shared" si="4"/>
        <v>2.7978011472401476E-2</v>
      </c>
      <c r="J6" s="8" t="str">
        <f t="shared" si="0"/>
        <v>*</v>
      </c>
      <c r="K6">
        <f t="shared" si="1"/>
        <v>12.285714285714286</v>
      </c>
      <c r="L6">
        <f t="shared" si="2"/>
        <v>1.5416510592959376</v>
      </c>
      <c r="M6" s="25">
        <v>4.2999999999999997E-2</v>
      </c>
      <c r="N6" t="str">
        <f t="shared" si="3"/>
        <v>*</v>
      </c>
    </row>
    <row r="7" spans="1:14" x14ac:dyDescent="0.3">
      <c r="A7" s="3" t="s">
        <v>23</v>
      </c>
      <c r="B7">
        <f>15-11</f>
        <v>4</v>
      </c>
      <c r="C7">
        <f>10-8</f>
        <v>2</v>
      </c>
      <c r="D7">
        <f>90-57</f>
        <v>33</v>
      </c>
      <c r="E7">
        <f>17-4</f>
        <v>13</v>
      </c>
      <c r="F7">
        <f>13-4</f>
        <v>9</v>
      </c>
      <c r="G7">
        <f>48-38</f>
        <v>10</v>
      </c>
      <c r="H7">
        <f>31-30</f>
        <v>1</v>
      </c>
      <c r="I7" s="30">
        <f t="shared" si="4"/>
        <v>2.6217076442699782E-2</v>
      </c>
      <c r="J7" s="8" t="str">
        <f t="shared" si="0"/>
        <v>*</v>
      </c>
      <c r="K7">
        <f t="shared" si="1"/>
        <v>10.285714285714286</v>
      </c>
      <c r="L7">
        <f t="shared" si="2"/>
        <v>1.3377680337081506</v>
      </c>
      <c r="M7" s="25">
        <v>1.7999999999999999E-2</v>
      </c>
      <c r="N7" t="str">
        <f t="shared" si="3"/>
        <v>*</v>
      </c>
    </row>
    <row r="8" spans="1:14" x14ac:dyDescent="0.3">
      <c r="A8" s="3" t="s">
        <v>34</v>
      </c>
      <c r="B8">
        <f>13-8</f>
        <v>5</v>
      </c>
      <c r="C8">
        <f>7-6</f>
        <v>1</v>
      </c>
      <c r="D8">
        <f>89-68</f>
        <v>21</v>
      </c>
      <c r="E8">
        <f>31-11</f>
        <v>20</v>
      </c>
      <c r="F8">
        <f>20-16</f>
        <v>4</v>
      </c>
      <c r="G8">
        <f>42-27</f>
        <v>15</v>
      </c>
      <c r="H8">
        <f>34-21</f>
        <v>13</v>
      </c>
      <c r="I8" s="30">
        <f t="shared" si="4"/>
        <v>7.2288204924066254E-3</v>
      </c>
      <c r="J8" s="8" t="str">
        <f t="shared" si="0"/>
        <v>**</v>
      </c>
      <c r="K8">
        <f t="shared" si="1"/>
        <v>11.285714285714286</v>
      </c>
      <c r="L8">
        <f t="shared" si="2"/>
        <v>0.97917186482613627</v>
      </c>
      <c r="M8" s="25">
        <v>1.7999999999999999E-2</v>
      </c>
      <c r="N8" t="str">
        <f t="shared" si="3"/>
        <v>*</v>
      </c>
    </row>
    <row r="9" spans="1:14" x14ac:dyDescent="0.3">
      <c r="A9" s="3" t="s">
        <v>46</v>
      </c>
      <c r="B9">
        <f>8-4</f>
        <v>4</v>
      </c>
      <c r="C9">
        <f>13-6</f>
        <v>7</v>
      </c>
      <c r="D9">
        <f>90-65</f>
        <v>25</v>
      </c>
      <c r="E9">
        <f>17-8</f>
        <v>9</v>
      </c>
      <c r="F9">
        <f>10-7</f>
        <v>3</v>
      </c>
      <c r="G9">
        <f>37-22</f>
        <v>15</v>
      </c>
      <c r="H9">
        <f>54-23</f>
        <v>31</v>
      </c>
      <c r="I9" s="30">
        <f t="shared" si="4"/>
        <v>1.5417154918724446E-2</v>
      </c>
      <c r="J9" s="8" t="str">
        <f t="shared" si="0"/>
        <v>*</v>
      </c>
      <c r="K9">
        <f t="shared" si="1"/>
        <v>13.428571428571429</v>
      </c>
      <c r="L9">
        <f t="shared" si="2"/>
        <v>1.3230771137921296</v>
      </c>
      <c r="M9" s="25">
        <v>1.7999999999999999E-2</v>
      </c>
      <c r="N9" t="str">
        <f t="shared" si="3"/>
        <v>*</v>
      </c>
    </row>
    <row r="10" spans="1:14" x14ac:dyDescent="0.3">
      <c r="A10" s="2" t="s">
        <v>47</v>
      </c>
      <c r="B10">
        <f>15-10</f>
        <v>5</v>
      </c>
      <c r="C10">
        <f>39-31</f>
        <v>8</v>
      </c>
      <c r="D10">
        <f>93-58</f>
        <v>35</v>
      </c>
      <c r="E10">
        <f>29-10</f>
        <v>19</v>
      </c>
      <c r="F10">
        <f>21-11</f>
        <v>10</v>
      </c>
      <c r="G10">
        <f>58-24</f>
        <v>34</v>
      </c>
      <c r="H10">
        <f>73-24</f>
        <v>49</v>
      </c>
      <c r="I10" s="30">
        <f>_xlfn.T.TEST(B10:H10,$B$26:$H$26,2,1)</f>
        <v>2.2064896259186745E-2</v>
      </c>
      <c r="J10" s="8" t="str">
        <f t="shared" si="0"/>
        <v>*</v>
      </c>
      <c r="K10">
        <f t="shared" si="1"/>
        <v>22.857142857142858</v>
      </c>
      <c r="L10">
        <f t="shared" si="2"/>
        <v>2.0411544039194238</v>
      </c>
      <c r="M10" s="25">
        <v>1.7999999999999999E-2</v>
      </c>
      <c r="N10" t="str">
        <f t="shared" si="3"/>
        <v>*</v>
      </c>
    </row>
    <row r="11" spans="1:14" x14ac:dyDescent="0.3">
      <c r="A11" s="3" t="s">
        <v>38</v>
      </c>
      <c r="B11">
        <f>26-15</f>
        <v>11</v>
      </c>
      <c r="C11">
        <f>8-6</f>
        <v>2</v>
      </c>
      <c r="D11">
        <f>75-62</f>
        <v>13</v>
      </c>
      <c r="E11">
        <f>29-7</f>
        <v>22</v>
      </c>
      <c r="F11">
        <f>21-13</f>
        <v>8</v>
      </c>
      <c r="G11">
        <f>43-32</f>
        <v>11</v>
      </c>
      <c r="H11">
        <f>42-31</f>
        <v>11</v>
      </c>
      <c r="I11" s="30">
        <f t="shared" si="4"/>
        <v>2.8223569732230515E-3</v>
      </c>
      <c r="J11" s="8" t="str">
        <f t="shared" si="0"/>
        <v>**</v>
      </c>
      <c r="K11">
        <f t="shared" si="1"/>
        <v>11.142857142857142</v>
      </c>
      <c r="L11">
        <f t="shared" si="2"/>
        <v>0.73107489672382975</v>
      </c>
      <c r="M11" s="25">
        <v>1.7999999999999999E-2</v>
      </c>
      <c r="N11" t="str">
        <f t="shared" si="3"/>
        <v>*</v>
      </c>
    </row>
    <row r="12" spans="1:14" x14ac:dyDescent="0.3">
      <c r="A12" s="3" t="s">
        <v>19</v>
      </c>
      <c r="B12">
        <f>5-11</f>
        <v>-6</v>
      </c>
      <c r="C12">
        <f>10-9</f>
        <v>1</v>
      </c>
      <c r="D12">
        <f>65-56</f>
        <v>9</v>
      </c>
      <c r="E12">
        <f>13-9</f>
        <v>4</v>
      </c>
      <c r="F12">
        <f>14-11</f>
        <v>3</v>
      </c>
      <c r="G12">
        <f>34-27</f>
        <v>7</v>
      </c>
      <c r="H12">
        <f>20-14</f>
        <v>6</v>
      </c>
      <c r="I12" s="25">
        <f t="shared" si="4"/>
        <v>5.8926310844329588E-2</v>
      </c>
      <c r="J12" t="str">
        <f t="shared" si="0"/>
        <v/>
      </c>
      <c r="K12">
        <f t="shared" si="1"/>
        <v>3.4285714285714284</v>
      </c>
      <c r="L12">
        <f t="shared" si="2"/>
        <v>0.60205759487608357</v>
      </c>
      <c r="M12" s="25">
        <v>8.8999999999999996E-2</v>
      </c>
      <c r="N12" t="str">
        <f t="shared" si="3"/>
        <v/>
      </c>
    </row>
    <row r="13" spans="1:14" x14ac:dyDescent="0.3">
      <c r="A13" s="3" t="s">
        <v>20</v>
      </c>
      <c r="B13">
        <f>7-10</f>
        <v>-3</v>
      </c>
      <c r="C13">
        <f>14-7</f>
        <v>7</v>
      </c>
      <c r="D13">
        <f>33-30</f>
        <v>3</v>
      </c>
      <c r="E13">
        <f>20-7</f>
        <v>13</v>
      </c>
      <c r="F13">
        <f>7-2</f>
        <v>5</v>
      </c>
      <c r="G13">
        <f>24-36</f>
        <v>-12</v>
      </c>
      <c r="H13">
        <f>27-36</f>
        <v>-9</v>
      </c>
      <c r="I13" s="25">
        <f t="shared" si="4"/>
        <v>0.60797183609027416</v>
      </c>
      <c r="J13" t="str">
        <f t="shared" si="0"/>
        <v/>
      </c>
      <c r="K13">
        <f t="shared" si="1"/>
        <v>0.5714285714285714</v>
      </c>
      <c r="L13">
        <f t="shared" si="2"/>
        <v>1.0969363552405726</v>
      </c>
      <c r="M13" s="25">
        <v>0.44600000000000001</v>
      </c>
      <c r="N13" t="str">
        <f t="shared" si="3"/>
        <v/>
      </c>
    </row>
    <row r="14" spans="1:14" x14ac:dyDescent="0.3">
      <c r="A14" s="3" t="s">
        <v>36</v>
      </c>
      <c r="B14">
        <f>42-7</f>
        <v>35</v>
      </c>
      <c r="C14">
        <f>42-8</f>
        <v>34</v>
      </c>
      <c r="D14">
        <f>64-49</f>
        <v>15</v>
      </c>
      <c r="E14">
        <f>80-10</f>
        <v>70</v>
      </c>
      <c r="F14">
        <f>30-11</f>
        <v>19</v>
      </c>
      <c r="G14">
        <f>63-31</f>
        <v>32</v>
      </c>
      <c r="H14">
        <f>49-15</f>
        <v>34</v>
      </c>
      <c r="I14" s="30">
        <f t="shared" si="4"/>
        <v>2.4997889643759929E-3</v>
      </c>
      <c r="J14" s="8" t="str">
        <f t="shared" si="0"/>
        <v>**</v>
      </c>
      <c r="K14">
        <f t="shared" si="1"/>
        <v>34.142857142857146</v>
      </c>
      <c r="L14">
        <f t="shared" si="2"/>
        <v>2.1664889763668915</v>
      </c>
      <c r="M14" s="25">
        <v>1.7999999999999999E-2</v>
      </c>
      <c r="N14" t="str">
        <f t="shared" si="3"/>
        <v>*</v>
      </c>
    </row>
    <row r="15" spans="1:14" x14ac:dyDescent="0.3">
      <c r="A15" s="3" t="s">
        <v>24</v>
      </c>
      <c r="B15">
        <f>6-15</f>
        <v>-9</v>
      </c>
      <c r="C15">
        <f>15-8</f>
        <v>7</v>
      </c>
      <c r="D15">
        <f>61-53</f>
        <v>8</v>
      </c>
      <c r="E15">
        <f>7-10</f>
        <v>-3</v>
      </c>
      <c r="F15">
        <f>18-11</f>
        <v>7</v>
      </c>
      <c r="G15">
        <f>32-21</f>
        <v>11</v>
      </c>
      <c r="H15">
        <f>27-21</f>
        <v>6</v>
      </c>
      <c r="I15" s="25">
        <f t="shared" si="4"/>
        <v>9.0888076126496589E-2</v>
      </c>
      <c r="J15" t="str">
        <f t="shared" si="0"/>
        <v/>
      </c>
      <c r="K15">
        <f t="shared" si="1"/>
        <v>3.8571428571428572</v>
      </c>
      <c r="L15">
        <f t="shared" si="2"/>
        <v>0.87083356712674087</v>
      </c>
      <c r="M15" s="25">
        <v>0.107</v>
      </c>
      <c r="N15" t="str">
        <f t="shared" si="3"/>
        <v/>
      </c>
    </row>
    <row r="16" spans="1:14" x14ac:dyDescent="0.3">
      <c r="A16" s="3" t="s">
        <v>57</v>
      </c>
      <c r="B16">
        <f>28-7</f>
        <v>21</v>
      </c>
      <c r="C16">
        <f>10-9</f>
        <v>1</v>
      </c>
      <c r="D16">
        <f>70-40</f>
        <v>30</v>
      </c>
      <c r="E16">
        <f>29-10</f>
        <v>19</v>
      </c>
      <c r="F16">
        <f>16-2</f>
        <v>14</v>
      </c>
      <c r="G16">
        <f>33-28</f>
        <v>5</v>
      </c>
      <c r="H16">
        <f>42-22</f>
        <v>20</v>
      </c>
      <c r="I16" s="30">
        <f t="shared" si="4"/>
        <v>5.6488247185003957E-3</v>
      </c>
      <c r="J16" s="8" t="str">
        <f t="shared" si="0"/>
        <v>**</v>
      </c>
      <c r="K16">
        <f t="shared" si="1"/>
        <v>15.714285714285714</v>
      </c>
      <c r="L16">
        <f t="shared" si="2"/>
        <v>1.2170314706566077</v>
      </c>
      <c r="M16" s="25">
        <v>1.7999999999999999E-2</v>
      </c>
      <c r="N16" t="str">
        <f t="shared" si="3"/>
        <v>*</v>
      </c>
    </row>
    <row r="17" spans="1:14" x14ac:dyDescent="0.3">
      <c r="A17" s="2" t="s">
        <v>25</v>
      </c>
      <c r="B17">
        <f>10-11</f>
        <v>-1</v>
      </c>
      <c r="C17">
        <f>23-19</f>
        <v>4</v>
      </c>
      <c r="D17">
        <f>51-64</f>
        <v>-13</v>
      </c>
      <c r="E17">
        <f>11-7</f>
        <v>4</v>
      </c>
      <c r="F17">
        <f>12-3</f>
        <v>9</v>
      </c>
      <c r="G17">
        <f>24-27</f>
        <v>-3</v>
      </c>
      <c r="H17">
        <f>26-27</f>
        <v>-1</v>
      </c>
      <c r="I17" s="25">
        <f>_xlfn.T.TEST(B17:H17,$B$26:$H$26,2,1)</f>
        <v>0.52223644063742003</v>
      </c>
      <c r="J17" t="str">
        <f t="shared" si="0"/>
        <v/>
      </c>
      <c r="K17">
        <f t="shared" si="1"/>
        <v>-0.14285714285714285</v>
      </c>
      <c r="L17">
        <f t="shared" si="2"/>
        <v>0.85352232271102724</v>
      </c>
      <c r="M17" s="25">
        <v>0.443</v>
      </c>
      <c r="N17" t="str">
        <f t="shared" si="3"/>
        <v/>
      </c>
    </row>
    <row r="18" spans="1:14" x14ac:dyDescent="0.3">
      <c r="A18" s="2" t="s">
        <v>33</v>
      </c>
      <c r="B18">
        <f>19-10</f>
        <v>9</v>
      </c>
      <c r="C18">
        <f>9-7</f>
        <v>2</v>
      </c>
      <c r="D18">
        <f>18-18</f>
        <v>0</v>
      </c>
      <c r="E18">
        <f>11-15</f>
        <v>-4</v>
      </c>
      <c r="F18">
        <f>10-8</f>
        <v>2</v>
      </c>
      <c r="G18">
        <f>38-22</f>
        <v>16</v>
      </c>
      <c r="H18">
        <f>12-33</f>
        <v>-21</v>
      </c>
      <c r="I18" s="25">
        <f>_xlfn.T.TEST(B18:H18,$B$26:$H$26,2,1)</f>
        <v>0.70231181474300908</v>
      </c>
      <c r="J18" t="str">
        <f t="shared" si="0"/>
        <v/>
      </c>
      <c r="K18">
        <f t="shared" si="1"/>
        <v>0.5714285714285714</v>
      </c>
      <c r="L18">
        <f t="shared" si="2"/>
        <v>1.4104393000727697</v>
      </c>
      <c r="M18" s="25">
        <v>0.73499999999999999</v>
      </c>
      <c r="N18" t="str">
        <f t="shared" si="3"/>
        <v/>
      </c>
    </row>
    <row r="19" spans="1:14" x14ac:dyDescent="0.3">
      <c r="A19" s="3" t="s">
        <v>26</v>
      </c>
      <c r="B19">
        <f>8-12</f>
        <v>-4</v>
      </c>
      <c r="C19">
        <f>12-13</f>
        <v>-1</v>
      </c>
      <c r="D19">
        <f>21-19</f>
        <v>2</v>
      </c>
      <c r="E19">
        <f>17-16</f>
        <v>1</v>
      </c>
      <c r="F19">
        <f>14-12</f>
        <v>2</v>
      </c>
      <c r="G19">
        <f>21-17</f>
        <v>4</v>
      </c>
      <c r="H19">
        <f>37-31</f>
        <v>6</v>
      </c>
      <c r="I19" s="25">
        <f t="shared" si="4"/>
        <v>0.12885668739210956</v>
      </c>
      <c r="J19" t="str">
        <f t="shared" si="0"/>
        <v/>
      </c>
      <c r="K19">
        <f t="shared" si="1"/>
        <v>1.4285714285714286</v>
      </c>
      <c r="L19">
        <f t="shared" si="2"/>
        <v>0.3981121048718399</v>
      </c>
      <c r="M19" s="25">
        <v>0.128</v>
      </c>
      <c r="N19" t="str">
        <f t="shared" si="3"/>
        <v/>
      </c>
    </row>
    <row r="20" spans="1:14" x14ac:dyDescent="0.3">
      <c r="A20" s="3" t="s">
        <v>37</v>
      </c>
      <c r="B20">
        <f>4-5</f>
        <v>-1</v>
      </c>
      <c r="C20">
        <f>13-8</f>
        <v>5</v>
      </c>
      <c r="D20">
        <f>56-59</f>
        <v>-3</v>
      </c>
      <c r="E20">
        <f>14-11</f>
        <v>3</v>
      </c>
      <c r="F20">
        <f>9-4</f>
        <v>5</v>
      </c>
      <c r="G20">
        <f>38-37</f>
        <v>1</v>
      </c>
      <c r="H20">
        <f>33-27</f>
        <v>6</v>
      </c>
      <c r="I20" s="25">
        <f t="shared" si="4"/>
        <v>0.1075956871099733</v>
      </c>
      <c r="J20" t="str">
        <f t="shared" si="0"/>
        <v/>
      </c>
      <c r="K20">
        <f t="shared" si="1"/>
        <v>2.2857142857142856</v>
      </c>
      <c r="L20">
        <f t="shared" si="2"/>
        <v>0.41558138688564911</v>
      </c>
      <c r="M20" s="25">
        <v>0.17599999999999999</v>
      </c>
      <c r="N20" t="str">
        <f t="shared" si="3"/>
        <v/>
      </c>
    </row>
    <row r="21" spans="1:14" x14ac:dyDescent="0.3">
      <c r="A21" s="3" t="s">
        <v>27</v>
      </c>
      <c r="B21">
        <f>7-10</f>
        <v>-3</v>
      </c>
      <c r="C21">
        <f>8-12</f>
        <v>-4</v>
      </c>
      <c r="D21">
        <f>15-15</f>
        <v>0</v>
      </c>
      <c r="E21">
        <f>8-14</f>
        <v>-6</v>
      </c>
      <c r="F21">
        <f>11-11</f>
        <v>0</v>
      </c>
      <c r="G21">
        <f>33-31</f>
        <v>2</v>
      </c>
      <c r="H21">
        <f>40-30</f>
        <v>10</v>
      </c>
      <c r="I21" s="25">
        <f t="shared" si="4"/>
        <v>0.56205189472689399</v>
      </c>
      <c r="J21" t="str">
        <f t="shared" si="0"/>
        <v/>
      </c>
      <c r="K21">
        <f t="shared" si="1"/>
        <v>-0.14285714285714285</v>
      </c>
      <c r="L21">
        <f t="shared" si="2"/>
        <v>0.64038456818307388</v>
      </c>
      <c r="M21" s="25">
        <v>0.73099999999999998</v>
      </c>
      <c r="N21" t="str">
        <f t="shared" si="3"/>
        <v/>
      </c>
    </row>
    <row r="22" spans="1:14" x14ac:dyDescent="0.3">
      <c r="A22" s="3" t="s">
        <v>28</v>
      </c>
      <c r="B22">
        <f>13-12</f>
        <v>1</v>
      </c>
      <c r="C22">
        <f>16-17</f>
        <v>-1</v>
      </c>
      <c r="D22">
        <f>18-21</f>
        <v>-3</v>
      </c>
      <c r="E22">
        <f>12-15</f>
        <v>-3</v>
      </c>
      <c r="F22">
        <f>12-11</f>
        <v>1</v>
      </c>
      <c r="G22">
        <f>36-24</f>
        <v>12</v>
      </c>
      <c r="H22">
        <f>45-26</f>
        <v>19</v>
      </c>
      <c r="I22" s="25">
        <f t="shared" si="4"/>
        <v>0.16723102528206671</v>
      </c>
      <c r="J22" t="str">
        <f t="shared" si="0"/>
        <v/>
      </c>
      <c r="K22">
        <f t="shared" si="1"/>
        <v>3.7142857142857144</v>
      </c>
      <c r="L22">
        <f t="shared" si="2"/>
        <v>1.033552261467944</v>
      </c>
      <c r="M22" s="25">
        <v>8.7999999999999995E-2</v>
      </c>
      <c r="N22" t="str">
        <f t="shared" si="3"/>
        <v/>
      </c>
    </row>
    <row r="23" spans="1:14" x14ac:dyDescent="0.3">
      <c r="A23" s="3" t="s">
        <v>29</v>
      </c>
      <c r="B23">
        <f>14-9</f>
        <v>5</v>
      </c>
      <c r="C23">
        <f>25-18</f>
        <v>7</v>
      </c>
      <c r="D23">
        <f>21-23</f>
        <v>-2</v>
      </c>
      <c r="E23">
        <f>12-12</f>
        <v>0</v>
      </c>
      <c r="F23">
        <f>5-8</f>
        <v>-3</v>
      </c>
      <c r="G23">
        <f>19-20</f>
        <v>-1</v>
      </c>
      <c r="H23">
        <f>32-37</f>
        <v>-5</v>
      </c>
      <c r="I23" s="25">
        <f t="shared" si="4"/>
        <v>0.38625533146616481</v>
      </c>
      <c r="J23" t="str">
        <f t="shared" si="0"/>
        <v/>
      </c>
      <c r="K23">
        <f t="shared" si="1"/>
        <v>0.14285714285714285</v>
      </c>
      <c r="L23">
        <f t="shared" si="2"/>
        <v>0.52984824368509165</v>
      </c>
      <c r="M23" s="25">
        <v>0.4</v>
      </c>
      <c r="N23" t="str">
        <f t="shared" si="3"/>
        <v/>
      </c>
    </row>
    <row r="24" spans="1:14" x14ac:dyDescent="0.3">
      <c r="A24" s="3" t="s">
        <v>48</v>
      </c>
      <c r="B24">
        <f>8-16</f>
        <v>-8</v>
      </c>
      <c r="C24">
        <f>17-16</f>
        <v>1</v>
      </c>
      <c r="D24">
        <f>22-14</f>
        <v>8</v>
      </c>
      <c r="E24">
        <f>15-14</f>
        <v>1</v>
      </c>
      <c r="F24">
        <f>5-12</f>
        <v>-7</v>
      </c>
      <c r="G24">
        <f>31-26</f>
        <v>5</v>
      </c>
      <c r="H24">
        <f>42-30</f>
        <v>12</v>
      </c>
      <c r="I24" s="25">
        <f t="shared" si="4"/>
        <v>0.34891986234357791</v>
      </c>
      <c r="J24" t="str">
        <f t="shared" si="0"/>
        <v/>
      </c>
      <c r="K24">
        <f t="shared" si="1"/>
        <v>1.7142857142857142</v>
      </c>
      <c r="L24">
        <f t="shared" si="2"/>
        <v>0.90249594675096412</v>
      </c>
      <c r="M24" s="25">
        <v>0.39800000000000002</v>
      </c>
      <c r="N24" t="str">
        <f t="shared" si="3"/>
        <v/>
      </c>
    </row>
    <row r="25" spans="1:14" x14ac:dyDescent="0.3">
      <c r="A25" s="3" t="s">
        <v>31</v>
      </c>
      <c r="B25">
        <f>11-11</f>
        <v>0</v>
      </c>
      <c r="C25">
        <f>8-11</f>
        <v>-3</v>
      </c>
      <c r="D25">
        <f>58-59</f>
        <v>-1</v>
      </c>
      <c r="E25">
        <f>13-17</f>
        <v>-4</v>
      </c>
      <c r="F25">
        <f>16-17</f>
        <v>-1</v>
      </c>
      <c r="G25">
        <f>44-41</f>
        <v>3</v>
      </c>
      <c r="H25">
        <f>25-30</f>
        <v>-5</v>
      </c>
      <c r="I25" t="s">
        <v>6</v>
      </c>
      <c r="K25">
        <f t="shared" si="1"/>
        <v>-1.5714285714285714</v>
      </c>
      <c r="L25">
        <f t="shared" si="2"/>
        <v>0.32976052563093766</v>
      </c>
    </row>
    <row r="26" spans="1:14" x14ac:dyDescent="0.3">
      <c r="A26" s="2" t="s">
        <v>30</v>
      </c>
      <c r="B26">
        <f>7-6</f>
        <v>1</v>
      </c>
      <c r="C26">
        <f>5-6</f>
        <v>-1</v>
      </c>
      <c r="D26">
        <f>47-55</f>
        <v>-8</v>
      </c>
      <c r="E26">
        <f>16-9</f>
        <v>7</v>
      </c>
      <c r="F26">
        <f>16-13</f>
        <v>3</v>
      </c>
      <c r="G26">
        <f>34-39</f>
        <v>-5</v>
      </c>
      <c r="H26">
        <f>13-19</f>
        <v>-6</v>
      </c>
      <c r="I26" t="s">
        <v>6</v>
      </c>
      <c r="K26">
        <f t="shared" si="1"/>
        <v>-1.2857142857142858</v>
      </c>
      <c r="L26">
        <f t="shared" si="2"/>
        <v>0.65682140402661282</v>
      </c>
    </row>
  </sheetData>
  <pageMargins left="0.7" right="0.7" top="0.75" bottom="0.75" header="0.3" footer="0.3"/>
  <ignoredErrors>
    <ignoredError sqref="I10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zoomScaleNormal="100" workbookViewId="0">
      <selection activeCell="A16" sqref="A16"/>
    </sheetView>
  </sheetViews>
  <sheetFormatPr defaultRowHeight="14.4" x14ac:dyDescent="0.3"/>
  <cols>
    <col min="1" max="1" width="28.77734375" customWidth="1"/>
    <col min="2" max="8" width="10.77734375" customWidth="1"/>
    <col min="9" max="9" width="12.77734375" customWidth="1"/>
    <col min="10" max="12" width="10.77734375" customWidth="1"/>
  </cols>
  <sheetData>
    <row r="1" spans="1:14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42</v>
      </c>
      <c r="J1" s="7" t="s">
        <v>11</v>
      </c>
      <c r="K1" s="7" t="s">
        <v>14</v>
      </c>
      <c r="L1" s="7" t="s">
        <v>13</v>
      </c>
      <c r="M1" s="7" t="s">
        <v>41</v>
      </c>
      <c r="N1" s="7" t="s">
        <v>15</v>
      </c>
    </row>
    <row r="2" spans="1:14" x14ac:dyDescent="0.3">
      <c r="A2" s="3" t="s">
        <v>16</v>
      </c>
      <c r="B2">
        <f>7-9</f>
        <v>-2</v>
      </c>
      <c r="C2">
        <f>50-32</f>
        <v>18</v>
      </c>
      <c r="D2">
        <f>49-25</f>
        <v>24</v>
      </c>
      <c r="E2">
        <f>29-22</f>
        <v>7</v>
      </c>
      <c r="F2">
        <f>32-17</f>
        <v>15</v>
      </c>
      <c r="G2">
        <f>21-10</f>
        <v>11</v>
      </c>
      <c r="H2">
        <f>34-24</f>
        <v>10</v>
      </c>
      <c r="I2" s="26">
        <f>_xlfn.T.TEST(B2:H2,$B$25:$H$25,2,1)</f>
        <v>4.6500169060841364E-3</v>
      </c>
      <c r="J2" s="9" t="str">
        <f>IF(I2&lt;=0.05,IF(I2&lt;0.01,IF(I2&lt;0.001,"***","**"),"*"),"")</f>
        <v>**</v>
      </c>
      <c r="K2">
        <f>AVERAGE(B2:H2)</f>
        <v>11.857142857142858</v>
      </c>
      <c r="L2">
        <f>STDEV(B2:H2)/SQRT(7)</f>
        <v>3.1428571428571432</v>
      </c>
      <c r="M2" s="25">
        <v>1.7999999999999999E-2</v>
      </c>
      <c r="N2" t="str">
        <f>IF(M2&lt;=0.05,IF(M2&lt;0.01,IF(M2&lt;0.001,"***","**"),"*"),"")</f>
        <v>*</v>
      </c>
    </row>
    <row r="3" spans="1:14" x14ac:dyDescent="0.3">
      <c r="A3" s="6" t="s">
        <v>17</v>
      </c>
      <c r="B3">
        <f>6-6</f>
        <v>0</v>
      </c>
      <c r="C3">
        <f>18-19</f>
        <v>-1</v>
      </c>
      <c r="D3">
        <f>23-23</f>
        <v>0</v>
      </c>
      <c r="E3">
        <f>22-27</f>
        <v>-5</v>
      </c>
      <c r="F3">
        <f>18-20</f>
        <v>-2</v>
      </c>
      <c r="G3">
        <f>7-17</f>
        <v>-10</v>
      </c>
      <c r="H3">
        <f>17-30</f>
        <v>-13</v>
      </c>
      <c r="I3" s="26">
        <f>_xlfn.T.TEST(B3:H3,$B$25:$H$25,2,1)</f>
        <v>4.4451192525973925E-2</v>
      </c>
      <c r="J3" s="9" t="str">
        <f t="shared" ref="J3:J24" si="0">IF(I3&lt;=0.05,IF(I3&lt;0.01,IF(I3&lt;0.001,"***","**"),"*"),"")</f>
        <v>*</v>
      </c>
      <c r="K3">
        <f>AVERAGE(B3:H3)</f>
        <v>-4.4285714285714288</v>
      </c>
      <c r="L3">
        <f t="shared" ref="L3:L26" si="1">STDEV(B3:H3)/SQRT(7)</f>
        <v>1.9622283598130013</v>
      </c>
      <c r="M3" s="25">
        <v>5.8000000000000003E-2</v>
      </c>
      <c r="N3" t="str">
        <f t="shared" ref="N3:N24" si="2">IF(M3&lt;=0.05,IF(M3&lt;0.01,IF(M3&lt;0.001,"***","**"),"*"),"")</f>
        <v/>
      </c>
    </row>
    <row r="4" spans="1:14" x14ac:dyDescent="0.3">
      <c r="A4" s="2" t="s">
        <v>18</v>
      </c>
      <c r="B4">
        <f>8-13</f>
        <v>-5</v>
      </c>
      <c r="C4">
        <f>24-18</f>
        <v>6</v>
      </c>
      <c r="D4">
        <f>22-26</f>
        <v>-4</v>
      </c>
      <c r="E4">
        <f>16-23</f>
        <v>-7</v>
      </c>
      <c r="F4">
        <f>31-27</f>
        <v>4</v>
      </c>
      <c r="G4">
        <f>8-8</f>
        <v>0</v>
      </c>
      <c r="H4">
        <f>20-19</f>
        <v>1</v>
      </c>
      <c r="I4" s="25">
        <f>_xlfn.T.TEST(B4:H4,$B$25:$H$25,2,1)</f>
        <v>0.34672388622052108</v>
      </c>
      <c r="J4" t="str">
        <f t="shared" si="0"/>
        <v/>
      </c>
      <c r="K4">
        <f t="shared" ref="K4:K5" si="3">AVERAGE(B4:H4)</f>
        <v>-0.7142857142857143</v>
      </c>
      <c r="L4">
        <f t="shared" si="1"/>
        <v>1.8220120447341897</v>
      </c>
      <c r="M4" s="25">
        <v>0.4</v>
      </c>
      <c r="N4" t="str">
        <f t="shared" si="2"/>
        <v/>
      </c>
    </row>
    <row r="5" spans="1:14" x14ac:dyDescent="0.3">
      <c r="A5" s="3" t="s">
        <v>21</v>
      </c>
      <c r="B5">
        <f>12-10</f>
        <v>2</v>
      </c>
      <c r="C5">
        <f>18-13</f>
        <v>5</v>
      </c>
      <c r="D5">
        <f>25-22</f>
        <v>3</v>
      </c>
      <c r="E5">
        <f>30-19</f>
        <v>11</v>
      </c>
      <c r="F5">
        <f>42-41</f>
        <v>1</v>
      </c>
      <c r="G5">
        <f>15-14</f>
        <v>1</v>
      </c>
      <c r="H5">
        <f>33-36</f>
        <v>-3</v>
      </c>
      <c r="I5" s="25">
        <f>_xlfn.T.TEST(B5:H5,$B$25:$H$25,2,1)</f>
        <v>0.60931993768534021</v>
      </c>
      <c r="J5" t="str">
        <f t="shared" si="0"/>
        <v/>
      </c>
      <c r="K5">
        <f t="shared" si="3"/>
        <v>2.8571428571428572</v>
      </c>
      <c r="L5">
        <f t="shared" si="1"/>
        <v>1.6392299502912862</v>
      </c>
      <c r="M5" s="25">
        <v>0.67300000000000004</v>
      </c>
      <c r="N5" t="str">
        <f t="shared" si="2"/>
        <v/>
      </c>
    </row>
    <row r="6" spans="1:14" x14ac:dyDescent="0.3">
      <c r="A6" s="3" t="s">
        <v>22</v>
      </c>
      <c r="B6">
        <f>27-13</f>
        <v>14</v>
      </c>
      <c r="C6">
        <f>63-36</f>
        <v>27</v>
      </c>
      <c r="D6">
        <f>45-22</f>
        <v>23</v>
      </c>
      <c r="E6">
        <f>38-26</f>
        <v>12</v>
      </c>
      <c r="F6">
        <f>36-24</f>
        <v>12</v>
      </c>
      <c r="G6">
        <f>19-16</f>
        <v>3</v>
      </c>
      <c r="H6">
        <f>44-20</f>
        <v>24</v>
      </c>
      <c r="I6" s="26">
        <f t="shared" ref="I6:I9" si="4">_xlfn.T.TEST(B6:H6,$B$25:$H$25,2,1)</f>
        <v>5.42677922664823E-4</v>
      </c>
      <c r="J6" s="9" t="str">
        <f t="shared" si="0"/>
        <v>***</v>
      </c>
      <c r="K6">
        <f>AVERAGE(B6:H6)</f>
        <v>16.428571428571427</v>
      </c>
      <c r="L6">
        <f t="shared" si="1"/>
        <v>3.2282764298434845</v>
      </c>
      <c r="M6" s="25">
        <v>1.7999999999999999E-2</v>
      </c>
      <c r="N6" t="str">
        <f t="shared" si="2"/>
        <v>*</v>
      </c>
    </row>
    <row r="7" spans="1:14" x14ac:dyDescent="0.3">
      <c r="A7" s="3" t="s">
        <v>23</v>
      </c>
      <c r="B7">
        <f>22-14</f>
        <v>8</v>
      </c>
      <c r="C7">
        <f>21-7</f>
        <v>14</v>
      </c>
      <c r="D7">
        <f>33-18</f>
        <v>15</v>
      </c>
      <c r="E7">
        <f>37-26</f>
        <v>11</v>
      </c>
      <c r="F7">
        <f>34-33</f>
        <v>1</v>
      </c>
      <c r="G7">
        <f>19-19</f>
        <v>0</v>
      </c>
      <c r="H7">
        <f>40-25</f>
        <v>15</v>
      </c>
      <c r="I7" s="26">
        <f t="shared" si="4"/>
        <v>1.6762760635808589E-3</v>
      </c>
      <c r="J7" s="9" t="str">
        <f t="shared" si="0"/>
        <v>**</v>
      </c>
      <c r="K7">
        <f t="shared" ref="K7:K26" si="5">AVERAGE(B7:H7)</f>
        <v>9.1428571428571423</v>
      </c>
      <c r="L7">
        <f t="shared" si="1"/>
        <v>2.424366106925306</v>
      </c>
      <c r="M7" s="25">
        <v>1.7999999999999999E-2</v>
      </c>
      <c r="N7" t="str">
        <f t="shared" si="2"/>
        <v>*</v>
      </c>
    </row>
    <row r="8" spans="1:14" x14ac:dyDescent="0.3">
      <c r="A8" s="3" t="s">
        <v>34</v>
      </c>
      <c r="B8">
        <f>36-19</f>
        <v>17</v>
      </c>
      <c r="C8">
        <f>37-20</f>
        <v>17</v>
      </c>
      <c r="D8">
        <f>53-36</f>
        <v>17</v>
      </c>
      <c r="E8">
        <f>33-34</f>
        <v>-1</v>
      </c>
      <c r="F8">
        <f>34-27</f>
        <v>7</v>
      </c>
      <c r="G8">
        <f>28-19</f>
        <v>9</v>
      </c>
      <c r="H8">
        <f>33-27</f>
        <v>6</v>
      </c>
      <c r="I8" s="26">
        <f t="shared" si="4"/>
        <v>2.1720323489724178E-2</v>
      </c>
      <c r="J8" s="9" t="str">
        <f t="shared" si="0"/>
        <v>*</v>
      </c>
      <c r="K8">
        <f t="shared" si="5"/>
        <v>10.285714285714286</v>
      </c>
      <c r="L8">
        <f t="shared" si="1"/>
        <v>2.6431788735957937</v>
      </c>
      <c r="M8" s="25">
        <v>4.2000000000000003E-2</v>
      </c>
      <c r="N8" t="str">
        <f t="shared" si="2"/>
        <v>*</v>
      </c>
    </row>
    <row r="9" spans="1:14" x14ac:dyDescent="0.3">
      <c r="A9" s="3" t="s">
        <v>46</v>
      </c>
      <c r="B9">
        <f>23-7</f>
        <v>16</v>
      </c>
      <c r="C9">
        <f>60-38</f>
        <v>22</v>
      </c>
      <c r="D9">
        <f>41-25</f>
        <v>16</v>
      </c>
      <c r="E9">
        <f>23-26</f>
        <v>-3</v>
      </c>
      <c r="F9">
        <f>25-22</f>
        <v>3</v>
      </c>
      <c r="G9">
        <f>27-9</f>
        <v>18</v>
      </c>
      <c r="H9">
        <f>74-25</f>
        <v>49</v>
      </c>
      <c r="I9" s="26">
        <f t="shared" si="4"/>
        <v>3.996875361365352E-2</v>
      </c>
      <c r="J9" s="9" t="str">
        <f t="shared" si="0"/>
        <v>*</v>
      </c>
      <c r="K9">
        <f t="shared" si="5"/>
        <v>17.285714285714285</v>
      </c>
      <c r="L9">
        <f t="shared" si="1"/>
        <v>6.2629457762237069</v>
      </c>
      <c r="M9" s="25">
        <v>3.4000000000000002E-2</v>
      </c>
      <c r="N9" t="str">
        <f t="shared" si="2"/>
        <v>*</v>
      </c>
    </row>
    <row r="10" spans="1:14" x14ac:dyDescent="0.3">
      <c r="A10" s="2" t="s">
        <v>47</v>
      </c>
      <c r="B10">
        <f>48-14</f>
        <v>34</v>
      </c>
      <c r="C10">
        <f>71-13</f>
        <v>58</v>
      </c>
      <c r="D10">
        <f>48-25</f>
        <v>23</v>
      </c>
      <c r="E10">
        <f>39-24</f>
        <v>15</v>
      </c>
      <c r="F10">
        <f>67-43</f>
        <v>24</v>
      </c>
      <c r="G10">
        <f>45-14</f>
        <v>31</v>
      </c>
      <c r="H10">
        <f>81-25</f>
        <v>56</v>
      </c>
      <c r="I10" s="26">
        <f>_xlfn.T.TEST(B10:H10,$B$25:$H$25,2,1)</f>
        <v>1.6858554997685232E-3</v>
      </c>
      <c r="J10" s="9" t="str">
        <f t="shared" si="0"/>
        <v>**</v>
      </c>
      <c r="K10">
        <f t="shared" si="5"/>
        <v>34.428571428571431</v>
      </c>
      <c r="L10">
        <f t="shared" si="1"/>
        <v>6.2672890123741576</v>
      </c>
      <c r="M10" s="25">
        <v>1.7999999999999999E-2</v>
      </c>
      <c r="N10" t="str">
        <f t="shared" si="2"/>
        <v>*</v>
      </c>
    </row>
    <row r="11" spans="1:14" x14ac:dyDescent="0.3">
      <c r="A11" s="3" t="s">
        <v>38</v>
      </c>
      <c r="B11">
        <f>54-5</f>
        <v>49</v>
      </c>
      <c r="C11">
        <f>53-20</f>
        <v>33</v>
      </c>
      <c r="D11">
        <f>49-28</f>
        <v>21</v>
      </c>
      <c r="E11">
        <f>39-24</f>
        <v>15</v>
      </c>
      <c r="F11">
        <f>32-20</f>
        <v>12</v>
      </c>
      <c r="G11">
        <f>31-18</f>
        <v>13</v>
      </c>
      <c r="H11">
        <f>40-22</f>
        <v>18</v>
      </c>
      <c r="I11" s="25">
        <f>_xlfn.T.TEST(B11:H11,$B$25:$H$25,2,1)</f>
        <v>8.2781865933453293E-3</v>
      </c>
      <c r="J11" t="str">
        <f t="shared" si="0"/>
        <v>**</v>
      </c>
      <c r="K11">
        <f t="shared" si="5"/>
        <v>23</v>
      </c>
      <c r="L11">
        <f t="shared" si="1"/>
        <v>5.0943479418254256</v>
      </c>
      <c r="M11" s="26">
        <v>1.7999999999999999E-2</v>
      </c>
      <c r="N11" s="9" t="str">
        <f t="shared" si="2"/>
        <v>*</v>
      </c>
    </row>
    <row r="12" spans="1:14" x14ac:dyDescent="0.3">
      <c r="A12" s="3" t="s">
        <v>19</v>
      </c>
      <c r="B12">
        <f>9-11</f>
        <v>-2</v>
      </c>
      <c r="C12">
        <f>22-22</f>
        <v>0</v>
      </c>
      <c r="D12">
        <f>45-41</f>
        <v>4</v>
      </c>
      <c r="E12">
        <f>29-27</f>
        <v>2</v>
      </c>
      <c r="F12">
        <f>25-28</f>
        <v>-3</v>
      </c>
      <c r="G12">
        <f>14-13</f>
        <v>1</v>
      </c>
      <c r="H12">
        <f>36-25</f>
        <v>11</v>
      </c>
      <c r="I12" s="25">
        <f>_xlfn.T.TEST(B12:H12,$B$25:$H$25,2,1)</f>
        <v>0.92954983294076321</v>
      </c>
      <c r="J12" t="str">
        <f t="shared" si="0"/>
        <v/>
      </c>
      <c r="K12">
        <f t="shared" si="5"/>
        <v>1.8571428571428572</v>
      </c>
      <c r="L12">
        <f t="shared" si="1"/>
        <v>1.7651193326524419</v>
      </c>
      <c r="M12" s="25">
        <v>1</v>
      </c>
      <c r="N12" t="str">
        <f t="shared" si="2"/>
        <v/>
      </c>
    </row>
    <row r="13" spans="1:14" x14ac:dyDescent="0.3">
      <c r="A13" s="3" t="s">
        <v>20</v>
      </c>
      <c r="B13">
        <f>12-10</f>
        <v>2</v>
      </c>
      <c r="C13">
        <f>18-10</f>
        <v>8</v>
      </c>
      <c r="D13">
        <f>40-37</f>
        <v>3</v>
      </c>
      <c r="E13">
        <f>22-25</f>
        <v>-3</v>
      </c>
      <c r="F13">
        <f>24-24</f>
        <v>0</v>
      </c>
      <c r="G13">
        <f>15-13</f>
        <v>2</v>
      </c>
      <c r="H13">
        <f>27-28</f>
        <v>-1</v>
      </c>
      <c r="I13" s="25">
        <f>_xlfn.T.TEST(B13:H13,$B$25:$H$25,2,1)</f>
        <v>0.93764995744261359</v>
      </c>
      <c r="J13" t="str">
        <f t="shared" si="0"/>
        <v/>
      </c>
      <c r="K13">
        <f t="shared" si="5"/>
        <v>1.5714285714285714</v>
      </c>
      <c r="L13">
        <f t="shared" si="1"/>
        <v>1.3248026422136721</v>
      </c>
      <c r="M13" s="25">
        <v>0.66700000000000004</v>
      </c>
      <c r="N13" t="str">
        <f t="shared" si="2"/>
        <v/>
      </c>
    </row>
    <row r="14" spans="1:14" x14ac:dyDescent="0.3">
      <c r="A14" s="3" t="s">
        <v>36</v>
      </c>
      <c r="B14">
        <f>51-17</f>
        <v>34</v>
      </c>
      <c r="C14">
        <f>48-35</f>
        <v>13</v>
      </c>
      <c r="D14">
        <f>46-30</f>
        <v>16</v>
      </c>
      <c r="E14">
        <f>44-20</f>
        <v>24</v>
      </c>
      <c r="F14">
        <f>58-28</f>
        <v>30</v>
      </c>
      <c r="G14">
        <f>32-16</f>
        <v>16</v>
      </c>
      <c r="H14">
        <f>50-22</f>
        <v>28</v>
      </c>
      <c r="I14" s="26">
        <f>_xlfn.T.TEST(B14:H14,$B$25:$H$25,2,1)</f>
        <v>2.2351839975184541E-3</v>
      </c>
      <c r="J14" s="9" t="str">
        <f t="shared" si="0"/>
        <v>**</v>
      </c>
      <c r="K14">
        <f t="shared" si="5"/>
        <v>23</v>
      </c>
      <c r="L14">
        <f t="shared" si="1"/>
        <v>3.062834043978286</v>
      </c>
      <c r="M14" s="25">
        <v>1.7999999999999999E-2</v>
      </c>
      <c r="N14" t="str">
        <f t="shared" si="2"/>
        <v>*</v>
      </c>
    </row>
    <row r="15" spans="1:14" x14ac:dyDescent="0.3">
      <c r="A15" s="3" t="s">
        <v>24</v>
      </c>
      <c r="B15">
        <f>3-13</f>
        <v>-10</v>
      </c>
      <c r="C15">
        <f>50-33</f>
        <v>17</v>
      </c>
      <c r="D15">
        <f>46-34</f>
        <v>12</v>
      </c>
      <c r="E15">
        <f>23-22</f>
        <v>1</v>
      </c>
      <c r="F15">
        <f>36-29</f>
        <v>7</v>
      </c>
      <c r="G15">
        <f>11-9</f>
        <v>2</v>
      </c>
      <c r="H15">
        <f>13-37</f>
        <v>-24</v>
      </c>
      <c r="I15" s="25">
        <f t="shared" ref="I15" si="6">_xlfn.T.TEST(B15:H15,$B$25:$H$25,2,1)</f>
        <v>0.85045225699746008</v>
      </c>
      <c r="J15" t="str">
        <f t="shared" si="0"/>
        <v/>
      </c>
      <c r="K15">
        <f t="shared" si="5"/>
        <v>0.7142857142857143</v>
      </c>
      <c r="L15">
        <f t="shared" si="1"/>
        <v>5.2540881394273109</v>
      </c>
      <c r="M15" s="25">
        <v>0.73499999999999999</v>
      </c>
      <c r="N15" t="str">
        <f t="shared" si="2"/>
        <v/>
      </c>
    </row>
    <row r="16" spans="1:14" x14ac:dyDescent="0.3">
      <c r="A16" s="3" t="s">
        <v>57</v>
      </c>
      <c r="B16">
        <f>17-12</f>
        <v>5</v>
      </c>
      <c r="C16">
        <f>19-11</f>
        <v>8</v>
      </c>
      <c r="D16">
        <f>42-27</f>
        <v>15</v>
      </c>
      <c r="E16">
        <f>29-20</f>
        <v>9</v>
      </c>
      <c r="F16">
        <f>68-42</f>
        <v>26</v>
      </c>
      <c r="G16">
        <f>28-15</f>
        <v>13</v>
      </c>
      <c r="H16">
        <f>20-29</f>
        <v>-9</v>
      </c>
      <c r="I16" s="25">
        <f>_xlfn.T.TEST(B16:H16,$B$25:$H$25,2,1)</f>
        <v>0.14362894548264757</v>
      </c>
      <c r="J16" t="str">
        <f t="shared" si="0"/>
        <v/>
      </c>
      <c r="K16">
        <f t="shared" si="5"/>
        <v>9.5714285714285712</v>
      </c>
      <c r="L16">
        <f t="shared" si="1"/>
        <v>4.0228936686653496</v>
      </c>
      <c r="M16" s="25">
        <v>0.128</v>
      </c>
      <c r="N16" t="str">
        <f t="shared" si="2"/>
        <v/>
      </c>
    </row>
    <row r="17" spans="1:14" x14ac:dyDescent="0.3">
      <c r="A17" s="2" t="s">
        <v>25</v>
      </c>
      <c r="B17">
        <f>10-11</f>
        <v>-1</v>
      </c>
      <c r="C17">
        <f>13-8</f>
        <v>5</v>
      </c>
      <c r="D17">
        <f>24-19</f>
        <v>5</v>
      </c>
      <c r="E17">
        <f>18-19</f>
        <v>-1</v>
      </c>
      <c r="F17">
        <f>42-42</f>
        <v>0</v>
      </c>
      <c r="G17">
        <f>20-12</f>
        <v>8</v>
      </c>
      <c r="H17">
        <f>42-33</f>
        <v>9</v>
      </c>
      <c r="I17" s="25">
        <f>_xlfn.T.TEST(B17:H17,$B$26:$H$26,2,1)</f>
        <v>0.25015169931620329</v>
      </c>
      <c r="J17" t="str">
        <f t="shared" si="0"/>
        <v/>
      </c>
      <c r="K17">
        <f t="shared" si="5"/>
        <v>3.5714285714285716</v>
      </c>
      <c r="L17">
        <f t="shared" si="1"/>
        <v>1.6014449257904988</v>
      </c>
      <c r="M17" s="25">
        <v>0.33400000000000002</v>
      </c>
      <c r="N17" t="str">
        <f t="shared" si="2"/>
        <v/>
      </c>
    </row>
    <row r="18" spans="1:14" x14ac:dyDescent="0.3">
      <c r="A18" s="2" t="s">
        <v>33</v>
      </c>
      <c r="B18">
        <f>15-10</f>
        <v>5</v>
      </c>
      <c r="C18">
        <f>10-10</f>
        <v>0</v>
      </c>
      <c r="D18">
        <f>18-30</f>
        <v>-12</v>
      </c>
      <c r="E18">
        <f>17-21</f>
        <v>-4</v>
      </c>
      <c r="F18">
        <f>59-48</f>
        <v>11</v>
      </c>
      <c r="G18">
        <f>15-13</f>
        <v>2</v>
      </c>
      <c r="H18">
        <f>37-28</f>
        <v>9</v>
      </c>
      <c r="I18" s="25">
        <f>_xlfn.T.TEST(B18:H18,$B$26:$H$26,2,1)</f>
        <v>0.93716166065515338</v>
      </c>
      <c r="J18" t="str">
        <f t="shared" si="0"/>
        <v/>
      </c>
      <c r="K18">
        <f t="shared" si="5"/>
        <v>1.5714285714285714</v>
      </c>
      <c r="L18">
        <f t="shared" si="1"/>
        <v>2.9829447168315855</v>
      </c>
      <c r="M18" s="25">
        <v>0.67100000000000004</v>
      </c>
      <c r="N18" t="str">
        <f t="shared" si="2"/>
        <v/>
      </c>
    </row>
    <row r="19" spans="1:14" x14ac:dyDescent="0.3">
      <c r="A19" s="3" t="s">
        <v>26</v>
      </c>
      <c r="B19">
        <f>10-16</f>
        <v>-6</v>
      </c>
      <c r="C19">
        <f>10-12</f>
        <v>-2</v>
      </c>
      <c r="D19">
        <f>26-17</f>
        <v>9</v>
      </c>
      <c r="E19">
        <f>15-13</f>
        <v>2</v>
      </c>
      <c r="F19">
        <f>53-43</f>
        <v>10</v>
      </c>
      <c r="G19">
        <f>17-9</f>
        <v>8</v>
      </c>
      <c r="H19">
        <f>48-35</f>
        <v>13</v>
      </c>
      <c r="I19" s="25">
        <f>_xlfn.T.TEST(B19:H19,$B$25:$H$25,2,1)</f>
        <v>0.29472105096015416</v>
      </c>
      <c r="J19" t="str">
        <f t="shared" si="0"/>
        <v/>
      </c>
      <c r="K19">
        <f t="shared" si="5"/>
        <v>4.8571428571428568</v>
      </c>
      <c r="L19">
        <f t="shared" si="1"/>
        <v>2.6406039300974804</v>
      </c>
      <c r="M19" s="25">
        <v>0.249</v>
      </c>
      <c r="N19" t="str">
        <f t="shared" si="2"/>
        <v/>
      </c>
    </row>
    <row r="20" spans="1:14" x14ac:dyDescent="0.3">
      <c r="A20" s="3" t="s">
        <v>37</v>
      </c>
      <c r="B20">
        <f>10-13</f>
        <v>-3</v>
      </c>
      <c r="C20">
        <f>10-12</f>
        <v>-2</v>
      </c>
      <c r="D20">
        <f>31-25</f>
        <v>6</v>
      </c>
      <c r="E20">
        <f>24-27</f>
        <v>-3</v>
      </c>
      <c r="F20">
        <f>18-18</f>
        <v>0</v>
      </c>
      <c r="G20">
        <f>17-11</f>
        <v>6</v>
      </c>
      <c r="H20">
        <f>40-26</f>
        <v>14</v>
      </c>
      <c r="I20" s="25">
        <f t="shared" ref="I20:I24" si="7">_xlfn.T.TEST(B20:H20,$B$25:$H$25,2,1)</f>
        <v>0.73265074089975257</v>
      </c>
      <c r="J20" t="str">
        <f t="shared" si="0"/>
        <v/>
      </c>
      <c r="K20">
        <f t="shared" si="5"/>
        <v>2.5714285714285716</v>
      </c>
      <c r="L20">
        <f t="shared" si="1"/>
        <v>2.4088837847508073</v>
      </c>
      <c r="M20" s="25">
        <v>0.67400000000000004</v>
      </c>
      <c r="N20" t="str">
        <f t="shared" si="2"/>
        <v/>
      </c>
    </row>
    <row r="21" spans="1:14" x14ac:dyDescent="0.3">
      <c r="A21" s="3" t="s">
        <v>27</v>
      </c>
      <c r="B21">
        <f>11-10</f>
        <v>1</v>
      </c>
      <c r="C21">
        <f>10-13</f>
        <v>-3</v>
      </c>
      <c r="D21">
        <f>35-34</f>
        <v>1</v>
      </c>
      <c r="E21">
        <f>20-16</f>
        <v>4</v>
      </c>
      <c r="F21">
        <f>61-53</f>
        <v>8</v>
      </c>
      <c r="G21">
        <f>22-15</f>
        <v>7</v>
      </c>
      <c r="H21">
        <f>32-26</f>
        <v>6</v>
      </c>
      <c r="I21" s="25">
        <f t="shared" si="7"/>
        <v>0.54327573548044861</v>
      </c>
      <c r="J21" t="str">
        <f t="shared" si="0"/>
        <v/>
      </c>
      <c r="K21">
        <f t="shared" si="5"/>
        <v>3.4285714285714284</v>
      </c>
      <c r="L21">
        <f t="shared" si="1"/>
        <v>1.4937511563198209</v>
      </c>
      <c r="M21" s="25">
        <v>0.39700000000000002</v>
      </c>
      <c r="N21" t="str">
        <f t="shared" si="2"/>
        <v/>
      </c>
    </row>
    <row r="22" spans="1:14" x14ac:dyDescent="0.3">
      <c r="A22" s="3" t="s">
        <v>28</v>
      </c>
      <c r="B22">
        <f>10-18</f>
        <v>-8</v>
      </c>
      <c r="C22">
        <f>12-12</f>
        <v>0</v>
      </c>
      <c r="D22">
        <f>26-19</f>
        <v>7</v>
      </c>
      <c r="E22">
        <f>23-17</f>
        <v>6</v>
      </c>
      <c r="F22">
        <f>49-42</f>
        <v>7</v>
      </c>
      <c r="G22">
        <f>22-12</f>
        <v>10</v>
      </c>
      <c r="H22">
        <f>51-31</f>
        <v>20</v>
      </c>
      <c r="I22" s="25">
        <f t="shared" si="7"/>
        <v>0.22385252867214289</v>
      </c>
      <c r="J22" t="str">
        <f t="shared" si="0"/>
        <v/>
      </c>
      <c r="K22">
        <f t="shared" si="5"/>
        <v>6</v>
      </c>
      <c r="L22">
        <f t="shared" si="1"/>
        <v>3.2586880211286902</v>
      </c>
      <c r="M22" s="25">
        <v>0.31</v>
      </c>
      <c r="N22" t="str">
        <f t="shared" si="2"/>
        <v/>
      </c>
    </row>
    <row r="23" spans="1:14" x14ac:dyDescent="0.3">
      <c r="A23" s="3" t="s">
        <v>29</v>
      </c>
      <c r="B23">
        <f>12-10</f>
        <v>2</v>
      </c>
      <c r="C23">
        <f>18-12</f>
        <v>6</v>
      </c>
      <c r="D23">
        <f>22-13</f>
        <v>9</v>
      </c>
      <c r="E23">
        <f>18-21</f>
        <v>-3</v>
      </c>
      <c r="F23">
        <f>58-39</f>
        <v>19</v>
      </c>
      <c r="G23">
        <f>15-15</f>
        <v>0</v>
      </c>
      <c r="H23">
        <f>41-37</f>
        <v>4</v>
      </c>
      <c r="I23" s="25">
        <f t="shared" si="7"/>
        <v>0.29533099168711252</v>
      </c>
      <c r="J23" t="str">
        <f t="shared" si="0"/>
        <v/>
      </c>
      <c r="K23">
        <f t="shared" si="5"/>
        <v>5.2857142857142856</v>
      </c>
      <c r="L23">
        <f t="shared" si="1"/>
        <v>2.7230435153325327</v>
      </c>
      <c r="M23" s="25">
        <v>0.20599999999999999</v>
      </c>
      <c r="N23" t="str">
        <f t="shared" si="2"/>
        <v/>
      </c>
    </row>
    <row r="24" spans="1:14" x14ac:dyDescent="0.3">
      <c r="A24" s="3" t="s">
        <v>48</v>
      </c>
      <c r="B24">
        <f>8-12</f>
        <v>-4</v>
      </c>
      <c r="C24">
        <f>8-6</f>
        <v>2</v>
      </c>
      <c r="D24">
        <f>29-20</f>
        <v>9</v>
      </c>
      <c r="E24">
        <f>23-19</f>
        <v>4</v>
      </c>
      <c r="F24">
        <f>45-47</f>
        <v>-2</v>
      </c>
      <c r="G24">
        <f>19-13</f>
        <v>6</v>
      </c>
      <c r="H24">
        <f>37-23</f>
        <v>14</v>
      </c>
      <c r="I24" s="25">
        <f t="shared" si="7"/>
        <v>0.22839992576557822</v>
      </c>
      <c r="J24" t="str">
        <f t="shared" si="0"/>
        <v/>
      </c>
      <c r="K24">
        <f t="shared" si="5"/>
        <v>4.1428571428571432</v>
      </c>
      <c r="L24">
        <f t="shared" si="1"/>
        <v>2.3546162504906887</v>
      </c>
      <c r="M24" s="25">
        <v>0.29299999999999998</v>
      </c>
      <c r="N24" t="str">
        <f t="shared" si="2"/>
        <v/>
      </c>
    </row>
    <row r="25" spans="1:14" x14ac:dyDescent="0.3">
      <c r="A25" s="3" t="s">
        <v>31</v>
      </c>
      <c r="B25">
        <f>4-7</f>
        <v>-3</v>
      </c>
      <c r="C25">
        <f>43-38</f>
        <v>5</v>
      </c>
      <c r="D25">
        <f>25-17</f>
        <v>8</v>
      </c>
      <c r="E25">
        <f>33-31</f>
        <v>2</v>
      </c>
      <c r="F25">
        <f>21-23</f>
        <v>-2</v>
      </c>
      <c r="G25">
        <f>12-14</f>
        <v>-2</v>
      </c>
      <c r="H25">
        <f>31-27</f>
        <v>4</v>
      </c>
      <c r="I25" t="s">
        <v>6</v>
      </c>
      <c r="K25">
        <f t="shared" si="5"/>
        <v>1.7142857142857142</v>
      </c>
      <c r="L25">
        <f t="shared" si="1"/>
        <v>1.584362358058488</v>
      </c>
    </row>
    <row r="26" spans="1:14" x14ac:dyDescent="0.3">
      <c r="A26" s="2" t="s">
        <v>30</v>
      </c>
      <c r="B26">
        <f>7-5</f>
        <v>2</v>
      </c>
      <c r="C26">
        <f>42-37</f>
        <v>5</v>
      </c>
      <c r="D26">
        <f>20-14</f>
        <v>6</v>
      </c>
      <c r="E26">
        <f>19-26</f>
        <v>-7</v>
      </c>
      <c r="F26">
        <f>23-22</f>
        <v>1</v>
      </c>
      <c r="G26">
        <f>16-18</f>
        <v>-2</v>
      </c>
      <c r="H26">
        <f>30-26</f>
        <v>4</v>
      </c>
      <c r="I26" t="s">
        <v>6</v>
      </c>
      <c r="K26">
        <f t="shared" si="5"/>
        <v>1.2857142857142858</v>
      </c>
      <c r="L26">
        <f t="shared" si="1"/>
        <v>1.7142857142857142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6"/>
  <sheetViews>
    <sheetView workbookViewId="0">
      <selection activeCell="A16" sqref="A16"/>
    </sheetView>
  </sheetViews>
  <sheetFormatPr defaultRowHeight="14.4" x14ac:dyDescent="0.3"/>
  <cols>
    <col min="1" max="1" width="28.77734375" customWidth="1"/>
    <col min="2" max="10" width="10.77734375" customWidth="1"/>
    <col min="11" max="11" width="12.77734375" customWidth="1"/>
    <col min="12" max="14" width="10.77734375" customWidth="1"/>
    <col min="17" max="17" width="26.6640625" customWidth="1"/>
    <col min="18" max="18" width="11.5546875" customWidth="1"/>
    <col min="19" max="19" width="29.33203125" customWidth="1"/>
    <col min="20" max="20" width="10.77734375" customWidth="1"/>
    <col min="21" max="21" width="28.88671875" customWidth="1"/>
    <col min="22" max="22" width="11" customWidth="1"/>
    <col min="23" max="23" width="29.33203125" customWidth="1"/>
    <col min="24" max="24" width="10.6640625" customWidth="1"/>
  </cols>
  <sheetData>
    <row r="1" spans="1:24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42</v>
      </c>
      <c r="L1" s="7" t="s">
        <v>15</v>
      </c>
      <c r="M1" s="7" t="s">
        <v>14</v>
      </c>
      <c r="N1" s="7" t="s">
        <v>13</v>
      </c>
      <c r="O1" s="7" t="s">
        <v>41</v>
      </c>
      <c r="P1" s="7" t="s">
        <v>15</v>
      </c>
      <c r="Q1" s="7" t="s">
        <v>43</v>
      </c>
      <c r="R1" s="7" t="s">
        <v>15</v>
      </c>
      <c r="S1" s="7" t="s">
        <v>44</v>
      </c>
      <c r="T1" s="7" t="s">
        <v>15</v>
      </c>
      <c r="U1" s="7" t="s">
        <v>51</v>
      </c>
      <c r="V1" s="7" t="s">
        <v>15</v>
      </c>
      <c r="W1" s="7" t="s">
        <v>50</v>
      </c>
      <c r="X1" s="7" t="s">
        <v>15</v>
      </c>
    </row>
    <row r="2" spans="1:24" x14ac:dyDescent="0.3">
      <c r="A2" s="3" t="s">
        <v>16</v>
      </c>
      <c r="B2">
        <f>41-21</f>
        <v>20</v>
      </c>
      <c r="C2">
        <f>24-10</f>
        <v>14</v>
      </c>
      <c r="D2">
        <f>17-7</f>
        <v>10</v>
      </c>
      <c r="E2">
        <f>36-25</f>
        <v>11</v>
      </c>
      <c r="F2">
        <f>57-42</f>
        <v>15</v>
      </c>
      <c r="G2">
        <f>33-23</f>
        <v>10</v>
      </c>
      <c r="H2">
        <f>49-44</f>
        <v>5</v>
      </c>
      <c r="I2">
        <f>64-65</f>
        <v>-1</v>
      </c>
      <c r="J2">
        <f>18-10</f>
        <v>8</v>
      </c>
      <c r="K2" s="31">
        <f>_xlfn.T.TEST(B2:J2,$B$25:$J$25,2,1)</f>
        <v>7.6697280209542754E-3</v>
      </c>
      <c r="L2" s="11" t="str">
        <f>IF(K2&lt;=0.05,IF(K2&lt;0.01,IF(K2&lt;0.001,"***","**"),"*"),"")</f>
        <v>**</v>
      </c>
      <c r="M2">
        <f>AVERAGE(B2:I2)</f>
        <v>10.5</v>
      </c>
      <c r="N2">
        <f>STDEV(B2:I2)/SQRT(9)</f>
        <v>2.1306530782092472</v>
      </c>
      <c r="O2" s="25">
        <v>1.2999999999999999E-2</v>
      </c>
      <c r="P2" t="str">
        <f>IF(O2&lt;=0.05,IF(O2&lt;0.01,IF(O2&lt;0.001,"***","**"),"*"),"")</f>
        <v>*</v>
      </c>
      <c r="Q2" s="16">
        <v>0.13439999999999999</v>
      </c>
      <c r="R2" t="str">
        <f>IF(Q2&lt;=0.05,IF(Q2&lt;0.01,IF(Q2&lt;0.001,"***","**"),"*"),"")</f>
        <v/>
      </c>
      <c r="S2" s="16">
        <v>0.14879999999999999</v>
      </c>
      <c r="T2" t="str">
        <f>IF(S2&lt;=0.05,IF(S2&lt;0.01,IF(S2&lt;0.001,"***","**"),"*"),"")</f>
        <v/>
      </c>
      <c r="U2" s="13">
        <v>0.2172</v>
      </c>
      <c r="V2" t="str">
        <f>IF(U2&lt;=0.05,IF(U2&lt;0.01,IF(U2&lt;0.001,"***","**"),"*"),"")</f>
        <v/>
      </c>
      <c r="W2" s="16">
        <v>0.26379999999999998</v>
      </c>
      <c r="X2" t="str">
        <f>IF(W2&lt;=0.05,IF(W2&lt;0.01,IF(W2&lt;0.001,"***","**"),"*"),"")</f>
        <v/>
      </c>
    </row>
    <row r="3" spans="1:24" x14ac:dyDescent="0.3">
      <c r="A3" s="6" t="s">
        <v>17</v>
      </c>
      <c r="B3" t="s">
        <v>3</v>
      </c>
      <c r="C3">
        <f>16-18</f>
        <v>-2</v>
      </c>
      <c r="D3">
        <f>0-4</f>
        <v>-4</v>
      </c>
      <c r="E3">
        <f>24-10</f>
        <v>14</v>
      </c>
      <c r="F3">
        <f>50-59</f>
        <v>-9</v>
      </c>
      <c r="G3">
        <f>16-18</f>
        <v>-2</v>
      </c>
      <c r="H3">
        <f>31-42</f>
        <v>-11</v>
      </c>
      <c r="I3">
        <f>16-23</f>
        <v>-7</v>
      </c>
      <c r="J3">
        <f>7-3</f>
        <v>4</v>
      </c>
      <c r="K3" s="25">
        <f>_xlfn.T.TEST(C3:J3,$C$26:$J$26,2,1)</f>
        <v>0.90622028261811138</v>
      </c>
      <c r="L3" t="str">
        <f t="shared" ref="L3:L24" si="0">IF(K3&lt;=0.05,IF(K3&lt;0.01,IF(K3&lt;0.001,"***","**"),"*"),"")</f>
        <v/>
      </c>
      <c r="M3">
        <f>AVERAGE(C3:I3)</f>
        <v>-3</v>
      </c>
      <c r="N3">
        <f>STDEV(C3:I3)/SQRT(8)</f>
        <v>2.9154759474226499</v>
      </c>
      <c r="O3" s="25">
        <v>0.67300000000000004</v>
      </c>
      <c r="P3" t="str">
        <f t="shared" ref="P3:P24" si="1">IF(O3&lt;=0.05,IF(O3&lt;0.01,IF(O3&lt;0.001,"***","**"),"*"),"")</f>
        <v/>
      </c>
      <c r="Q3" s="16">
        <v>0.50139999999999996</v>
      </c>
      <c r="R3" t="str">
        <f t="shared" ref="R3:R26" si="2">IF(Q3&lt;=0.05,IF(Q3&lt;0.01,IF(Q3&lt;0.001,"***","**"),"*"),"")</f>
        <v/>
      </c>
      <c r="S3" s="16">
        <v>0.29110000000000003</v>
      </c>
      <c r="T3" t="str">
        <f t="shared" ref="T3:T26" si="3">IF(S3&lt;=0.05,IF(S3&lt;0.01,IF(S3&lt;0.001,"***","**"),"*"),"")</f>
        <v/>
      </c>
      <c r="U3" s="13">
        <v>0.97340000000000004</v>
      </c>
      <c r="V3" t="str">
        <f t="shared" ref="V3:V26" si="4">IF(U3&lt;=0.05,IF(U3&lt;0.01,IF(U3&lt;0.001,"***","**"),"*"),"")</f>
        <v/>
      </c>
      <c r="W3" s="16">
        <v>0.66990000000000005</v>
      </c>
      <c r="X3" t="str">
        <f t="shared" ref="X3:X26" si="5">IF(W3&lt;=0.05,IF(W3&lt;0.01,IF(W3&lt;0.001,"***","**"),"*"),"")</f>
        <v/>
      </c>
    </row>
    <row r="4" spans="1:24" x14ac:dyDescent="0.3">
      <c r="A4" s="2" t="s">
        <v>18</v>
      </c>
      <c r="B4">
        <f>14-6</f>
        <v>8</v>
      </c>
      <c r="C4">
        <f>12-15</f>
        <v>-3</v>
      </c>
      <c r="D4">
        <f>4-2</f>
        <v>2</v>
      </c>
      <c r="E4">
        <f>27-18</f>
        <v>9</v>
      </c>
      <c r="F4">
        <f>40-41</f>
        <v>-1</v>
      </c>
      <c r="G4">
        <f>27-23</f>
        <v>4</v>
      </c>
      <c r="H4">
        <f>35-45</f>
        <v>-10</v>
      </c>
      <c r="I4">
        <f>32-47</f>
        <v>-15</v>
      </c>
      <c r="J4">
        <f>9-5</f>
        <v>4</v>
      </c>
      <c r="K4" s="25">
        <f>_xlfn.T.TEST(C4:J4,$C$26:$J$26,2,1)</f>
        <v>0.59453966582316231</v>
      </c>
      <c r="L4" t="str">
        <f t="shared" si="0"/>
        <v/>
      </c>
      <c r="M4">
        <f t="shared" ref="M4:M18" si="6">AVERAGE(B4:I4)</f>
        <v>-0.75</v>
      </c>
      <c r="N4">
        <f t="shared" ref="N4:N18" si="7">STDEV(B4:I4)/SQRT(9)</f>
        <v>2.8044748822336358</v>
      </c>
      <c r="O4" s="25">
        <v>0.51100000000000001</v>
      </c>
      <c r="P4" t="str">
        <f t="shared" si="1"/>
        <v/>
      </c>
      <c r="Q4" s="16">
        <v>0.93459999999999999</v>
      </c>
      <c r="R4" t="str">
        <f t="shared" si="2"/>
        <v/>
      </c>
      <c r="S4" s="16">
        <v>0.81540000000000001</v>
      </c>
      <c r="T4" t="str">
        <f t="shared" si="3"/>
        <v/>
      </c>
      <c r="U4" s="13">
        <v>0.52500000000000002</v>
      </c>
      <c r="V4" t="str">
        <f t="shared" si="4"/>
        <v/>
      </c>
      <c r="W4" s="16">
        <v>0.51459999999999995</v>
      </c>
      <c r="X4" t="str">
        <f t="shared" si="5"/>
        <v/>
      </c>
    </row>
    <row r="5" spans="1:24" x14ac:dyDescent="0.3">
      <c r="A5" s="3" t="s">
        <v>21</v>
      </c>
      <c r="B5">
        <f>41-21</f>
        <v>20</v>
      </c>
      <c r="C5">
        <f>13-11</f>
        <v>2</v>
      </c>
      <c r="D5">
        <f>10-10</f>
        <v>0</v>
      </c>
      <c r="E5">
        <f>21-21</f>
        <v>0</v>
      </c>
      <c r="F5">
        <f>59-62</f>
        <v>-3</v>
      </c>
      <c r="G5">
        <f>22-14</f>
        <v>8</v>
      </c>
      <c r="H5">
        <f>53-45</f>
        <v>8</v>
      </c>
      <c r="I5">
        <f>51-44</f>
        <v>7</v>
      </c>
      <c r="J5">
        <f>6-9</f>
        <v>-3</v>
      </c>
      <c r="K5" s="25">
        <f>_xlfn.T.TEST($B$25:$J$25,B5:J5,2,1)</f>
        <v>0.28806225552158532</v>
      </c>
      <c r="L5" t="str">
        <f t="shared" si="0"/>
        <v/>
      </c>
      <c r="M5">
        <f t="shared" si="6"/>
        <v>5.25</v>
      </c>
      <c r="N5">
        <f t="shared" si="7"/>
        <v>2.4217925933240783</v>
      </c>
      <c r="O5" s="25">
        <v>0.26</v>
      </c>
      <c r="P5" t="str">
        <f t="shared" si="1"/>
        <v/>
      </c>
      <c r="Q5" s="16">
        <v>0.48630000000000001</v>
      </c>
      <c r="R5" t="str">
        <f t="shared" si="2"/>
        <v/>
      </c>
      <c r="S5" s="16">
        <v>0.36630000000000001</v>
      </c>
      <c r="T5" t="str">
        <f t="shared" si="3"/>
        <v/>
      </c>
      <c r="U5" s="13">
        <v>0.67010000000000003</v>
      </c>
      <c r="V5" t="str">
        <f t="shared" si="4"/>
        <v/>
      </c>
      <c r="W5" s="16">
        <v>0.45069999999999999</v>
      </c>
      <c r="X5" t="str">
        <f t="shared" si="5"/>
        <v/>
      </c>
    </row>
    <row r="6" spans="1:24" x14ac:dyDescent="0.3">
      <c r="A6" s="3" t="s">
        <v>22</v>
      </c>
      <c r="B6">
        <f>35-15</f>
        <v>20</v>
      </c>
      <c r="C6">
        <f>20-15</f>
        <v>5</v>
      </c>
      <c r="D6">
        <f>48-2</f>
        <v>46</v>
      </c>
      <c r="E6">
        <f>21-11</f>
        <v>10</v>
      </c>
      <c r="F6">
        <f>54-50</f>
        <v>4</v>
      </c>
      <c r="G6">
        <f>61-30</f>
        <v>31</v>
      </c>
      <c r="H6">
        <f>84-51</f>
        <v>33</v>
      </c>
      <c r="I6">
        <f>47-32</f>
        <v>15</v>
      </c>
      <c r="J6">
        <f>26-5</f>
        <v>21</v>
      </c>
      <c r="K6" s="31">
        <f t="shared" ref="K6:K9" si="8">_xlfn.T.TEST($B$25:$J$25,B6:J6,2,1)</f>
        <v>3.1546057148448777E-3</v>
      </c>
      <c r="L6" s="11" t="str">
        <f t="shared" si="0"/>
        <v>**</v>
      </c>
      <c r="M6">
        <f t="shared" si="6"/>
        <v>20.5</v>
      </c>
      <c r="N6">
        <f t="shared" si="7"/>
        <v>4.9920571832296678</v>
      </c>
      <c r="O6" s="25">
        <v>8.0000000000000002E-3</v>
      </c>
      <c r="P6" t="str">
        <f t="shared" si="1"/>
        <v>**</v>
      </c>
      <c r="Q6" s="16">
        <v>0.32</v>
      </c>
      <c r="R6" t="str">
        <f t="shared" si="2"/>
        <v/>
      </c>
      <c r="S6" s="16">
        <v>0.4531</v>
      </c>
      <c r="T6" t="str">
        <f t="shared" si="3"/>
        <v/>
      </c>
      <c r="U6" s="13">
        <v>0.24199999999999999</v>
      </c>
      <c r="V6" t="str">
        <f t="shared" si="4"/>
        <v/>
      </c>
      <c r="W6" s="16">
        <v>0.26390000000000002</v>
      </c>
      <c r="X6" t="str">
        <f t="shared" si="5"/>
        <v/>
      </c>
    </row>
    <row r="7" spans="1:24" x14ac:dyDescent="0.3">
      <c r="A7" s="3" t="s">
        <v>23</v>
      </c>
      <c r="B7">
        <f>30-11</f>
        <v>19</v>
      </c>
      <c r="C7">
        <f>14-13</f>
        <v>1</v>
      </c>
      <c r="D7">
        <f>39-26</f>
        <v>13</v>
      </c>
      <c r="E7">
        <f>26-20</f>
        <v>6</v>
      </c>
      <c r="F7">
        <f>44-44</f>
        <v>0</v>
      </c>
      <c r="G7">
        <f>35-22</f>
        <v>13</v>
      </c>
      <c r="H7">
        <f>43-39</f>
        <v>4</v>
      </c>
      <c r="I7">
        <f>47-37</f>
        <v>10</v>
      </c>
      <c r="J7">
        <f>16-9</f>
        <v>7</v>
      </c>
      <c r="K7" s="31">
        <f t="shared" si="8"/>
        <v>7.3663421313339868E-3</v>
      </c>
      <c r="L7" s="11" t="str">
        <f t="shared" si="0"/>
        <v>**</v>
      </c>
      <c r="M7">
        <f t="shared" si="6"/>
        <v>8.25</v>
      </c>
      <c r="N7">
        <f t="shared" si="7"/>
        <v>2.209287754221342</v>
      </c>
      <c r="O7" s="25">
        <v>1.7000000000000001E-2</v>
      </c>
      <c r="P7" t="str">
        <f t="shared" si="1"/>
        <v>*</v>
      </c>
      <c r="Q7" s="16">
        <v>6.3200000000000006E-2</v>
      </c>
      <c r="R7" t="str">
        <f t="shared" si="2"/>
        <v/>
      </c>
      <c r="S7" s="16">
        <v>9.5399999999999999E-2</v>
      </c>
      <c r="T7" t="str">
        <f t="shared" si="3"/>
        <v/>
      </c>
      <c r="U7" s="13">
        <v>0.62239999999999995</v>
      </c>
      <c r="V7" t="str">
        <f t="shared" si="4"/>
        <v/>
      </c>
      <c r="W7" s="16">
        <v>0.93889999999999996</v>
      </c>
      <c r="X7" t="str">
        <f t="shared" si="5"/>
        <v/>
      </c>
    </row>
    <row r="8" spans="1:24" x14ac:dyDescent="0.3">
      <c r="A8" s="3" t="s">
        <v>34</v>
      </c>
      <c r="B8">
        <f>31-9</f>
        <v>22</v>
      </c>
      <c r="C8">
        <f>20-8</f>
        <v>12</v>
      </c>
      <c r="D8">
        <f>25-16</f>
        <v>9</v>
      </c>
      <c r="E8">
        <f>35-29</f>
        <v>6</v>
      </c>
      <c r="F8">
        <f>40-33</f>
        <v>7</v>
      </c>
      <c r="G8">
        <f>41-26</f>
        <v>15</v>
      </c>
      <c r="H8">
        <f>57-40</f>
        <v>17</v>
      </c>
      <c r="I8">
        <f>60-43</f>
        <v>17</v>
      </c>
      <c r="J8">
        <f>19-7</f>
        <v>12</v>
      </c>
      <c r="K8" s="31">
        <f t="shared" si="8"/>
        <v>6.6016000788999521E-4</v>
      </c>
      <c r="L8" s="11" t="str">
        <f t="shared" si="0"/>
        <v>***</v>
      </c>
      <c r="M8">
        <f t="shared" si="6"/>
        <v>13.125</v>
      </c>
      <c r="N8">
        <f t="shared" si="7"/>
        <v>1.8639223023523135</v>
      </c>
      <c r="O8" s="25">
        <v>1.0999999999999999E-2</v>
      </c>
      <c r="P8" t="str">
        <f t="shared" si="1"/>
        <v>*</v>
      </c>
      <c r="Q8" s="16">
        <v>0.44019999999999998</v>
      </c>
      <c r="R8" t="str">
        <f t="shared" si="2"/>
        <v/>
      </c>
      <c r="S8" s="16">
        <v>0.69810000000000005</v>
      </c>
      <c r="T8" t="str">
        <f t="shared" si="3"/>
        <v/>
      </c>
      <c r="U8" s="13">
        <v>0.61299999999999999</v>
      </c>
      <c r="V8" t="str">
        <f t="shared" si="4"/>
        <v/>
      </c>
      <c r="W8" s="16">
        <v>0.62390000000000001</v>
      </c>
      <c r="X8" t="str">
        <f t="shared" si="5"/>
        <v/>
      </c>
    </row>
    <row r="9" spans="1:24" x14ac:dyDescent="0.3">
      <c r="A9" s="3" t="s">
        <v>46</v>
      </c>
      <c r="B9">
        <f>29-6</f>
        <v>23</v>
      </c>
      <c r="C9">
        <f>16-10</f>
        <v>6</v>
      </c>
      <c r="D9">
        <f>21-9</f>
        <v>12</v>
      </c>
      <c r="E9">
        <f>31-20</f>
        <v>11</v>
      </c>
      <c r="F9">
        <f>103-74</f>
        <v>29</v>
      </c>
      <c r="G9">
        <f>97-31</f>
        <v>66</v>
      </c>
      <c r="H9">
        <f>83-53</f>
        <v>30</v>
      </c>
      <c r="I9">
        <f>73-24</f>
        <v>49</v>
      </c>
      <c r="J9">
        <f>18-7</f>
        <v>11</v>
      </c>
      <c r="K9" s="31">
        <f t="shared" si="8"/>
        <v>8.8892658598167269E-3</v>
      </c>
      <c r="L9" s="11" t="str">
        <f t="shared" si="0"/>
        <v>**</v>
      </c>
      <c r="M9">
        <f t="shared" si="6"/>
        <v>28.25</v>
      </c>
      <c r="N9">
        <f t="shared" si="7"/>
        <v>6.8353655514699589</v>
      </c>
      <c r="O9" s="25">
        <v>8.0000000000000002E-3</v>
      </c>
      <c r="P9" t="str">
        <f t="shared" si="1"/>
        <v>**</v>
      </c>
      <c r="Q9" s="16">
        <v>0.20200000000000001</v>
      </c>
      <c r="R9" t="str">
        <f t="shared" si="2"/>
        <v/>
      </c>
      <c r="S9" s="16">
        <v>0.28649999999999998</v>
      </c>
      <c r="T9" t="str">
        <f t="shared" si="3"/>
        <v/>
      </c>
      <c r="U9" s="13">
        <v>0.14779999999999999</v>
      </c>
      <c r="V9" t="str">
        <f t="shared" si="4"/>
        <v/>
      </c>
      <c r="W9" s="16">
        <v>0.16489999999999999</v>
      </c>
      <c r="X9" t="str">
        <f t="shared" si="5"/>
        <v/>
      </c>
    </row>
    <row r="10" spans="1:24" x14ac:dyDescent="0.3">
      <c r="A10" s="2" t="s">
        <v>47</v>
      </c>
      <c r="B10">
        <f>27-9</f>
        <v>18</v>
      </c>
      <c r="C10">
        <f>22-5</f>
        <v>17</v>
      </c>
      <c r="D10">
        <f>20-7</f>
        <v>13</v>
      </c>
      <c r="E10">
        <f>38-11</f>
        <v>27</v>
      </c>
      <c r="F10">
        <f>60-45</f>
        <v>15</v>
      </c>
      <c r="G10">
        <f>74-27</f>
        <v>47</v>
      </c>
      <c r="H10">
        <f>92-43</f>
        <v>49</v>
      </c>
      <c r="I10">
        <f>82-34</f>
        <v>48</v>
      </c>
      <c r="J10">
        <f>47-3</f>
        <v>44</v>
      </c>
      <c r="K10" s="31">
        <f>_xlfn.T.TEST(B10:J10,$B$26:$J$26,2,1)</f>
        <v>2.4870406127189587E-3</v>
      </c>
      <c r="L10" s="11" t="str">
        <f t="shared" si="0"/>
        <v>**</v>
      </c>
      <c r="M10">
        <f t="shared" si="6"/>
        <v>29.25</v>
      </c>
      <c r="N10">
        <f t="shared" si="7"/>
        <v>5.3533849253281014</v>
      </c>
      <c r="O10" s="25">
        <v>8.0000000000000002E-3</v>
      </c>
      <c r="P10" t="str">
        <f t="shared" si="1"/>
        <v>**</v>
      </c>
      <c r="Q10" s="16">
        <v>0.35360000000000003</v>
      </c>
      <c r="R10" t="str">
        <f t="shared" si="2"/>
        <v/>
      </c>
      <c r="S10" s="16">
        <v>0.42359999999999998</v>
      </c>
      <c r="T10" t="str">
        <f t="shared" si="3"/>
        <v/>
      </c>
      <c r="U10" s="13">
        <v>0.34189999999999998</v>
      </c>
      <c r="V10" t="str">
        <f t="shared" si="4"/>
        <v/>
      </c>
      <c r="W10" s="16">
        <v>0.36549999999999999</v>
      </c>
      <c r="X10" t="str">
        <f t="shared" si="5"/>
        <v/>
      </c>
    </row>
    <row r="11" spans="1:24" x14ac:dyDescent="0.3">
      <c r="A11" s="3" t="s">
        <v>39</v>
      </c>
      <c r="B11">
        <f>25-12</f>
        <v>13</v>
      </c>
      <c r="C11">
        <f>22-9</f>
        <v>13</v>
      </c>
      <c r="D11">
        <f>41-16</f>
        <v>25</v>
      </c>
      <c r="E11">
        <f>32-22</f>
        <v>10</v>
      </c>
      <c r="F11">
        <f>47-47</f>
        <v>0</v>
      </c>
      <c r="G11">
        <f>54-27</f>
        <v>27</v>
      </c>
      <c r="H11">
        <f>64-52</f>
        <v>12</v>
      </c>
      <c r="I11">
        <f>70-35</f>
        <v>35</v>
      </c>
      <c r="J11">
        <f>32-13</f>
        <v>19</v>
      </c>
      <c r="K11" s="31">
        <f>_xlfn.T.TEST(B11:J11,$B$25:$J$25,2,1)</f>
        <v>4.575182071904378E-3</v>
      </c>
      <c r="L11" s="11" t="str">
        <f t="shared" si="0"/>
        <v>**</v>
      </c>
      <c r="M11">
        <f t="shared" si="6"/>
        <v>16.875</v>
      </c>
      <c r="N11">
        <f t="shared" si="7"/>
        <v>3.7435129075360334</v>
      </c>
      <c r="O11" s="25">
        <v>8.0000000000000002E-3</v>
      </c>
      <c r="P11" t="str">
        <f t="shared" si="1"/>
        <v>**</v>
      </c>
      <c r="Q11" s="16">
        <v>0.42030000000000001</v>
      </c>
      <c r="R11" t="str">
        <f t="shared" si="2"/>
        <v/>
      </c>
      <c r="S11" s="16">
        <v>0.58760000000000001</v>
      </c>
      <c r="T11" t="str">
        <f t="shared" si="3"/>
        <v/>
      </c>
      <c r="U11" s="13">
        <v>0.20319999999999999</v>
      </c>
      <c r="V11" t="str">
        <f t="shared" si="4"/>
        <v/>
      </c>
      <c r="W11" s="16">
        <v>0.17119999999999999</v>
      </c>
      <c r="X11" t="str">
        <f t="shared" si="5"/>
        <v/>
      </c>
    </row>
    <row r="12" spans="1:24" x14ac:dyDescent="0.3">
      <c r="A12" s="3" t="s">
        <v>19</v>
      </c>
      <c r="B12">
        <f>23-8</f>
        <v>15</v>
      </c>
      <c r="C12">
        <f>13-10</f>
        <v>3</v>
      </c>
      <c r="D12">
        <f>18-16</f>
        <v>2</v>
      </c>
      <c r="E12">
        <f>24-26</f>
        <v>-2</v>
      </c>
      <c r="F12">
        <f>49-49</f>
        <v>0</v>
      </c>
      <c r="G12">
        <f>26-25</f>
        <v>1</v>
      </c>
      <c r="H12">
        <f>47-38</f>
        <v>9</v>
      </c>
      <c r="I12">
        <f>31-27</f>
        <v>4</v>
      </c>
      <c r="J12">
        <f>8-4</f>
        <v>4</v>
      </c>
      <c r="K12" s="25">
        <f t="shared" ref="K12:K16" si="9">_xlfn.T.TEST(B12:J12,$B$25:$J$25,2,1)</f>
        <v>0.28174287950194027</v>
      </c>
      <c r="L12" t="str">
        <f t="shared" si="0"/>
        <v/>
      </c>
      <c r="M12">
        <f t="shared" si="6"/>
        <v>4</v>
      </c>
      <c r="N12">
        <f t="shared" si="7"/>
        <v>1.8344152651674497</v>
      </c>
      <c r="O12" s="25">
        <v>0.153</v>
      </c>
      <c r="P12" t="str">
        <f t="shared" si="1"/>
        <v/>
      </c>
      <c r="Q12" s="16">
        <v>0.1623</v>
      </c>
      <c r="R12" t="str">
        <f t="shared" si="2"/>
        <v/>
      </c>
      <c r="S12" s="16">
        <v>0.2402</v>
      </c>
      <c r="T12" t="str">
        <f t="shared" si="3"/>
        <v/>
      </c>
      <c r="U12" s="13">
        <v>0.82569999999999999</v>
      </c>
      <c r="V12" t="str">
        <f t="shared" si="4"/>
        <v/>
      </c>
      <c r="W12" s="16">
        <v>0.77639999999999998</v>
      </c>
      <c r="X12" t="str">
        <f t="shared" si="5"/>
        <v/>
      </c>
    </row>
    <row r="13" spans="1:24" x14ac:dyDescent="0.3">
      <c r="A13" s="3" t="s">
        <v>20</v>
      </c>
      <c r="B13">
        <f>25-9</f>
        <v>16</v>
      </c>
      <c r="C13">
        <f>18-17</f>
        <v>1</v>
      </c>
      <c r="D13">
        <f>39-29</f>
        <v>10</v>
      </c>
      <c r="E13">
        <f>13-16</f>
        <v>-3</v>
      </c>
      <c r="F13">
        <f>45-50</f>
        <v>-5</v>
      </c>
      <c r="G13">
        <f>33-21</f>
        <v>12</v>
      </c>
      <c r="H13">
        <f>44-33</f>
        <v>11</v>
      </c>
      <c r="I13">
        <f>42-36</f>
        <v>6</v>
      </c>
      <c r="J13">
        <f>5-7</f>
        <v>-2</v>
      </c>
      <c r="K13" s="25">
        <f t="shared" si="9"/>
        <v>0.21263677447143275</v>
      </c>
      <c r="L13" t="str">
        <f t="shared" si="0"/>
        <v/>
      </c>
      <c r="M13">
        <f t="shared" si="6"/>
        <v>6</v>
      </c>
      <c r="N13">
        <f t="shared" si="7"/>
        <v>2.5323306286301581</v>
      </c>
      <c r="O13" s="25">
        <v>0.191</v>
      </c>
      <c r="P13" t="str">
        <f t="shared" si="1"/>
        <v/>
      </c>
      <c r="Q13" s="16">
        <v>0.30249999999999999</v>
      </c>
      <c r="R13" t="str">
        <f t="shared" si="2"/>
        <v/>
      </c>
      <c r="S13" s="16">
        <v>0.31009999999999999</v>
      </c>
      <c r="T13" t="str">
        <f t="shared" si="3"/>
        <v/>
      </c>
      <c r="U13" s="13">
        <v>0.2913</v>
      </c>
      <c r="V13" t="str">
        <f t="shared" si="4"/>
        <v/>
      </c>
      <c r="W13" s="16">
        <v>0.36530000000000001</v>
      </c>
      <c r="X13" t="str">
        <f t="shared" si="5"/>
        <v/>
      </c>
    </row>
    <row r="14" spans="1:24" x14ac:dyDescent="0.3">
      <c r="A14" s="3" t="s">
        <v>36</v>
      </c>
      <c r="B14">
        <f>36-10</f>
        <v>26</v>
      </c>
      <c r="C14">
        <f>41-11</f>
        <v>30</v>
      </c>
      <c r="D14">
        <f>83-2</f>
        <v>81</v>
      </c>
      <c r="E14">
        <f>50-6</f>
        <v>44</v>
      </c>
      <c r="F14">
        <f>80-46</f>
        <v>34</v>
      </c>
      <c r="G14">
        <f>70-46</f>
        <v>24</v>
      </c>
      <c r="H14">
        <f>61-34</f>
        <v>27</v>
      </c>
      <c r="I14">
        <f>73-32</f>
        <v>41</v>
      </c>
      <c r="J14">
        <f>51-23</f>
        <v>28</v>
      </c>
      <c r="K14" s="25">
        <f t="shared" si="9"/>
        <v>3.3883068727464635E-4</v>
      </c>
      <c r="L14" t="str">
        <f t="shared" si="0"/>
        <v>***</v>
      </c>
      <c r="M14">
        <f t="shared" si="6"/>
        <v>38.375</v>
      </c>
      <c r="N14">
        <f t="shared" si="7"/>
        <v>6.2155399208706328</v>
      </c>
      <c r="O14" s="31">
        <v>8.0000000000000002E-3</v>
      </c>
      <c r="P14" s="11" t="str">
        <f t="shared" si="1"/>
        <v>**</v>
      </c>
      <c r="Q14" s="16">
        <v>0.28699999999999998</v>
      </c>
      <c r="R14" t="str">
        <f t="shared" si="2"/>
        <v/>
      </c>
      <c r="S14" s="16">
        <v>0.26390000000000002</v>
      </c>
      <c r="T14" t="str">
        <f t="shared" si="3"/>
        <v/>
      </c>
      <c r="U14" s="13">
        <v>0.7359</v>
      </c>
      <c r="V14" t="str">
        <f t="shared" si="4"/>
        <v/>
      </c>
      <c r="W14" s="16">
        <v>0.91810000000000003</v>
      </c>
      <c r="X14" t="str">
        <f t="shared" si="5"/>
        <v/>
      </c>
    </row>
    <row r="15" spans="1:24" x14ac:dyDescent="0.3">
      <c r="A15" s="3" t="s">
        <v>24</v>
      </c>
      <c r="B15">
        <f>24-19</f>
        <v>5</v>
      </c>
      <c r="C15">
        <f>12-14</f>
        <v>-2</v>
      </c>
      <c r="D15">
        <f>12-14</f>
        <v>-2</v>
      </c>
      <c r="E15">
        <f>15-20</f>
        <v>-5</v>
      </c>
      <c r="F15">
        <f>43-56</f>
        <v>-13</v>
      </c>
      <c r="G15">
        <f>18-23</f>
        <v>-5</v>
      </c>
      <c r="H15">
        <f>29-38</f>
        <v>-9</v>
      </c>
      <c r="I15">
        <f>21-45</f>
        <v>-24</v>
      </c>
      <c r="J15">
        <f>3-7</f>
        <v>-4</v>
      </c>
      <c r="K15" s="31">
        <f t="shared" si="9"/>
        <v>1.0563754911323124E-2</v>
      </c>
      <c r="L15" s="24" t="str">
        <f t="shared" si="0"/>
        <v>*</v>
      </c>
      <c r="M15">
        <f t="shared" si="6"/>
        <v>-6.875</v>
      </c>
      <c r="N15">
        <f t="shared" si="7"/>
        <v>2.9028584708158438</v>
      </c>
      <c r="O15" s="25">
        <v>1.0999999999999999E-2</v>
      </c>
      <c r="P15" t="str">
        <f t="shared" si="1"/>
        <v>*</v>
      </c>
      <c r="Q15" s="16">
        <v>0.8246</v>
      </c>
      <c r="R15" t="str">
        <f t="shared" si="2"/>
        <v/>
      </c>
      <c r="S15" s="16">
        <v>0.97950000000000004</v>
      </c>
      <c r="T15" t="str">
        <f t="shared" si="3"/>
        <v/>
      </c>
      <c r="U15" s="14">
        <v>1.8599999999999998E-2</v>
      </c>
      <c r="V15" t="str">
        <f t="shared" si="4"/>
        <v>*</v>
      </c>
      <c r="W15" s="14">
        <v>1.66E-2</v>
      </c>
      <c r="X15" t="str">
        <f t="shared" si="5"/>
        <v>*</v>
      </c>
    </row>
    <row r="16" spans="1:24" x14ac:dyDescent="0.3">
      <c r="A16" s="3" t="s">
        <v>57</v>
      </c>
      <c r="B16">
        <f>22-11</f>
        <v>11</v>
      </c>
      <c r="C16">
        <f>15-12</f>
        <v>3</v>
      </c>
      <c r="D16">
        <f>60-44</f>
        <v>16</v>
      </c>
      <c r="E16">
        <f>31-23</f>
        <v>8</v>
      </c>
      <c r="F16">
        <f>72-90</f>
        <v>-18</v>
      </c>
      <c r="G16">
        <f>35-26</f>
        <v>9</v>
      </c>
      <c r="H16">
        <f>10-40</f>
        <v>-30</v>
      </c>
      <c r="I16">
        <f>11-36</f>
        <v>-25</v>
      </c>
      <c r="J16">
        <f>9-6</f>
        <v>3</v>
      </c>
      <c r="K16" s="25">
        <f t="shared" si="9"/>
        <v>0.43565963421071852</v>
      </c>
      <c r="L16" t="str">
        <f t="shared" si="0"/>
        <v/>
      </c>
      <c r="M16">
        <f t="shared" si="6"/>
        <v>-3.25</v>
      </c>
      <c r="N16">
        <f t="shared" si="7"/>
        <v>6.0362660591219752</v>
      </c>
      <c r="O16" s="25">
        <v>0.76700000000000002</v>
      </c>
      <c r="P16" t="str">
        <f t="shared" si="1"/>
        <v/>
      </c>
      <c r="Q16" s="14">
        <v>4.3E-3</v>
      </c>
      <c r="R16" t="str">
        <f t="shared" si="2"/>
        <v>**</v>
      </c>
      <c r="S16" s="14">
        <v>6.4999999999999997E-3</v>
      </c>
      <c r="T16" t="str">
        <f t="shared" si="3"/>
        <v>**</v>
      </c>
      <c r="U16" s="14">
        <v>2.5100000000000001E-2</v>
      </c>
      <c r="V16" t="str">
        <f t="shared" si="4"/>
        <v>*</v>
      </c>
      <c r="W16" s="14">
        <v>2.8899999999999999E-2</v>
      </c>
      <c r="X16" t="str">
        <f t="shared" si="5"/>
        <v>*</v>
      </c>
    </row>
    <row r="17" spans="1:24" x14ac:dyDescent="0.3">
      <c r="A17" s="2" t="s">
        <v>25</v>
      </c>
      <c r="B17">
        <f>20-11</f>
        <v>9</v>
      </c>
      <c r="C17">
        <f>13-10</f>
        <v>3</v>
      </c>
      <c r="D17">
        <f>15-12</f>
        <v>3</v>
      </c>
      <c r="E17">
        <f>18-16</f>
        <v>2</v>
      </c>
      <c r="F17">
        <f>93-62</f>
        <v>31</v>
      </c>
      <c r="G17">
        <f>14-29</f>
        <v>-15</v>
      </c>
      <c r="H17">
        <f>35-47</f>
        <v>-12</v>
      </c>
      <c r="I17">
        <f>33-51</f>
        <v>-18</v>
      </c>
      <c r="J17">
        <f>7-5</f>
        <v>2</v>
      </c>
      <c r="K17" s="25">
        <f>_xlfn.T.TEST(B17:J17,$B$26:$J$26,2,1)</f>
        <v>0.55553555588086678</v>
      </c>
      <c r="L17" t="str">
        <f t="shared" si="0"/>
        <v/>
      </c>
      <c r="M17">
        <f t="shared" si="6"/>
        <v>0.375</v>
      </c>
      <c r="N17">
        <f t="shared" si="7"/>
        <v>5.2793022025672807</v>
      </c>
      <c r="O17" s="25">
        <v>0.47599999999999998</v>
      </c>
      <c r="P17" t="str">
        <f t="shared" si="1"/>
        <v/>
      </c>
      <c r="Q17" s="16">
        <v>0.5554</v>
      </c>
      <c r="R17" t="str">
        <f t="shared" si="2"/>
        <v/>
      </c>
      <c r="S17" s="16">
        <v>0.5091</v>
      </c>
      <c r="T17" t="str">
        <f t="shared" si="3"/>
        <v/>
      </c>
      <c r="U17" s="16">
        <v>0.91049999999999998</v>
      </c>
      <c r="V17" t="str">
        <f t="shared" si="4"/>
        <v/>
      </c>
      <c r="W17" s="16">
        <v>0.93769999999999998</v>
      </c>
      <c r="X17" t="str">
        <f t="shared" si="5"/>
        <v/>
      </c>
    </row>
    <row r="18" spans="1:24" x14ac:dyDescent="0.3">
      <c r="A18" s="2" t="s">
        <v>33</v>
      </c>
      <c r="B18">
        <f>10-11</f>
        <v>-1</v>
      </c>
      <c r="C18">
        <f>11-9</f>
        <v>2</v>
      </c>
      <c r="D18">
        <f>6-3</f>
        <v>3</v>
      </c>
      <c r="E18">
        <f>22-20</f>
        <v>2</v>
      </c>
      <c r="F18">
        <f>56-63</f>
        <v>-7</v>
      </c>
      <c r="G18">
        <f>10-20</f>
        <v>-10</v>
      </c>
      <c r="H18">
        <f>51-47</f>
        <v>4</v>
      </c>
      <c r="I18">
        <f>38-45</f>
        <v>-7</v>
      </c>
      <c r="J18">
        <f>11-12</f>
        <v>-1</v>
      </c>
      <c r="K18" s="25">
        <f>_xlfn.T.TEST(B18:J18,$B$26:$J$26,2,1)</f>
        <v>1</v>
      </c>
      <c r="L18" t="str">
        <f t="shared" si="0"/>
        <v/>
      </c>
      <c r="M18">
        <f t="shared" si="6"/>
        <v>-1.75</v>
      </c>
      <c r="N18">
        <f t="shared" si="7"/>
        <v>1.8148418095390004</v>
      </c>
      <c r="O18" s="25">
        <v>0.85799999999999998</v>
      </c>
      <c r="P18" t="str">
        <f t="shared" si="1"/>
        <v/>
      </c>
      <c r="Q18" s="16">
        <v>0.82040000000000002</v>
      </c>
      <c r="R18" t="str">
        <f t="shared" si="2"/>
        <v/>
      </c>
      <c r="S18" s="16">
        <v>0.83620000000000005</v>
      </c>
      <c r="T18" t="str">
        <f t="shared" si="3"/>
        <v/>
      </c>
      <c r="U18" s="16">
        <v>0.60880000000000001</v>
      </c>
      <c r="V18" t="str">
        <f t="shared" si="4"/>
        <v/>
      </c>
      <c r="W18" s="16">
        <v>0.51680000000000004</v>
      </c>
      <c r="X18" t="str">
        <f t="shared" si="5"/>
        <v/>
      </c>
    </row>
    <row r="19" spans="1:24" x14ac:dyDescent="0.3">
      <c r="A19" s="3" t="s">
        <v>26</v>
      </c>
      <c r="B19">
        <f>25-9</f>
        <v>16</v>
      </c>
      <c r="C19">
        <f>9-10</f>
        <v>-1</v>
      </c>
      <c r="D19">
        <f>2-1</f>
        <v>1</v>
      </c>
      <c r="E19">
        <f>17-16</f>
        <v>1</v>
      </c>
      <c r="F19">
        <f>52-42</f>
        <v>10</v>
      </c>
      <c r="G19">
        <f>30-23</f>
        <v>7</v>
      </c>
      <c r="H19">
        <f>46-40</f>
        <v>6</v>
      </c>
      <c r="I19">
        <f>50-53</f>
        <v>-3</v>
      </c>
      <c r="J19" t="s">
        <v>3</v>
      </c>
      <c r="K19" s="25">
        <f>_xlfn.T.TEST(B19:I19,$B$25:$I$25,2,1)</f>
        <v>0.34005854600073165</v>
      </c>
      <c r="L19" t="str">
        <f t="shared" si="0"/>
        <v/>
      </c>
      <c r="M19">
        <f>AVERAGE(B19:C19,D19:I19)</f>
        <v>4.625</v>
      </c>
      <c r="N19">
        <f>STDEV(B19:C19,D19:I19)/SQRT(8)</f>
        <v>2.2435423202732645</v>
      </c>
      <c r="O19" s="25">
        <v>0.39900000000000002</v>
      </c>
      <c r="P19" t="str">
        <f t="shared" si="1"/>
        <v/>
      </c>
      <c r="Q19" s="16">
        <v>0.78749999999999998</v>
      </c>
      <c r="R19" t="str">
        <f t="shared" si="2"/>
        <v/>
      </c>
      <c r="S19" s="16">
        <v>0.78259999999999996</v>
      </c>
      <c r="T19" t="str">
        <f t="shared" si="3"/>
        <v/>
      </c>
      <c r="U19" s="16">
        <v>0.25240000000000001</v>
      </c>
      <c r="V19" t="str">
        <f t="shared" si="4"/>
        <v/>
      </c>
      <c r="W19" s="16">
        <v>0.44429999999999997</v>
      </c>
      <c r="X19" t="str">
        <f t="shared" si="5"/>
        <v/>
      </c>
    </row>
    <row r="20" spans="1:24" x14ac:dyDescent="0.3">
      <c r="A20" s="3" t="s">
        <v>37</v>
      </c>
      <c r="B20">
        <f>42-26</f>
        <v>16</v>
      </c>
      <c r="C20">
        <f>7-4</f>
        <v>3</v>
      </c>
      <c r="D20">
        <f>35-31</f>
        <v>4</v>
      </c>
      <c r="E20">
        <f>21-27</f>
        <v>-6</v>
      </c>
      <c r="F20">
        <f>56-57</f>
        <v>-1</v>
      </c>
      <c r="G20">
        <f>35-21</f>
        <v>14</v>
      </c>
      <c r="H20">
        <f>52-47</f>
        <v>5</v>
      </c>
      <c r="I20">
        <f>62-48</f>
        <v>14</v>
      </c>
      <c r="J20" t="s">
        <v>3</v>
      </c>
      <c r="K20" s="25">
        <f>_xlfn.T.TEST(B20:I20,$B$25:$I$25,2,1)</f>
        <v>0.26052465477684844</v>
      </c>
      <c r="L20" t="str">
        <f t="shared" si="0"/>
        <v/>
      </c>
      <c r="M20">
        <f>AVERAGE(B20:C20,D20:I20)</f>
        <v>6.125</v>
      </c>
      <c r="N20">
        <f>STDEV(B20:C20,D20:I20)/SQRT(8)</f>
        <v>2.7866871012009939</v>
      </c>
      <c r="O20" s="25">
        <v>0.16</v>
      </c>
      <c r="P20" t="str">
        <f t="shared" si="1"/>
        <v/>
      </c>
      <c r="Q20" s="16">
        <v>0.7762</v>
      </c>
      <c r="R20" t="str">
        <f t="shared" si="2"/>
        <v/>
      </c>
      <c r="S20" s="16">
        <v>0.4783</v>
      </c>
      <c r="T20" t="str">
        <f t="shared" si="3"/>
        <v/>
      </c>
      <c r="U20" s="16">
        <v>0.25490000000000002</v>
      </c>
      <c r="V20" t="str">
        <f t="shared" si="4"/>
        <v/>
      </c>
      <c r="W20" s="16">
        <v>0.44159999999999999</v>
      </c>
      <c r="X20" t="str">
        <f t="shared" si="5"/>
        <v/>
      </c>
    </row>
    <row r="21" spans="1:24" x14ac:dyDescent="0.3">
      <c r="A21" s="3" t="s">
        <v>27</v>
      </c>
      <c r="B21">
        <f>32-9</f>
        <v>23</v>
      </c>
      <c r="C21">
        <f>10-9</f>
        <v>1</v>
      </c>
      <c r="D21">
        <f>3-1</f>
        <v>2</v>
      </c>
      <c r="E21">
        <f>12-20</f>
        <v>-8</v>
      </c>
      <c r="F21">
        <f>58-42</f>
        <v>16</v>
      </c>
      <c r="G21">
        <f>27-31</f>
        <v>-4</v>
      </c>
      <c r="H21">
        <f>44-44</f>
        <v>0</v>
      </c>
      <c r="I21">
        <f>63-52</f>
        <v>11</v>
      </c>
      <c r="J21">
        <f>8-10</f>
        <v>-2</v>
      </c>
      <c r="K21" s="25">
        <f>_xlfn.T.TEST(B21:J21,$B$25:$J$25,2,1)</f>
        <v>0.53311215227520381</v>
      </c>
      <c r="L21" t="str">
        <f t="shared" si="0"/>
        <v/>
      </c>
      <c r="M21">
        <f t="shared" ref="M21:M26" si="10">AVERAGE(B21:I21)</f>
        <v>5.125</v>
      </c>
      <c r="N21">
        <f t="shared" ref="N21:N26" si="11">STDEV(B21:I21)/SQRT(9)</f>
        <v>3.5206308056712321</v>
      </c>
      <c r="O21" s="25">
        <v>0.59399999999999997</v>
      </c>
      <c r="P21" t="str">
        <f t="shared" si="1"/>
        <v/>
      </c>
      <c r="Q21" s="16">
        <v>0.17119999999999999</v>
      </c>
      <c r="R21" t="str">
        <f t="shared" si="2"/>
        <v/>
      </c>
      <c r="S21" s="16">
        <v>0.50649999999999995</v>
      </c>
      <c r="T21" t="str">
        <f t="shared" si="3"/>
        <v/>
      </c>
      <c r="U21" s="16">
        <v>0.30890000000000001</v>
      </c>
      <c r="V21" t="str">
        <f t="shared" si="4"/>
        <v/>
      </c>
      <c r="W21" s="16">
        <v>0.39200000000000002</v>
      </c>
      <c r="X21" t="str">
        <f t="shared" si="5"/>
        <v/>
      </c>
    </row>
    <row r="22" spans="1:24" x14ac:dyDescent="0.3">
      <c r="A22" s="3" t="s">
        <v>28</v>
      </c>
      <c r="B22">
        <f>43-11</f>
        <v>32</v>
      </c>
      <c r="C22">
        <f>7-7</f>
        <v>0</v>
      </c>
      <c r="D22">
        <f>0-1</f>
        <v>-1</v>
      </c>
      <c r="E22">
        <f>17-20</f>
        <v>-3</v>
      </c>
      <c r="F22">
        <f>50-47</f>
        <v>3</v>
      </c>
      <c r="G22">
        <f>30-19</f>
        <v>11</v>
      </c>
      <c r="H22">
        <f>47-47</f>
        <v>0</v>
      </c>
      <c r="I22">
        <f>56-60</f>
        <v>-4</v>
      </c>
      <c r="J22">
        <f>9-7</f>
        <v>2</v>
      </c>
      <c r="K22" s="25">
        <f t="shared" ref="K22" si="12">_xlfn.T.TEST(B22:J22,$B$25:$J$25,2,1)</f>
        <v>0.47884108164238015</v>
      </c>
      <c r="L22" t="str">
        <f t="shared" si="0"/>
        <v/>
      </c>
      <c r="M22">
        <f t="shared" si="10"/>
        <v>4.75</v>
      </c>
      <c r="N22">
        <f t="shared" si="11"/>
        <v>3.9830992160727514</v>
      </c>
      <c r="O22" s="25">
        <v>0.63300000000000001</v>
      </c>
      <c r="P22" t="str">
        <f t="shared" si="1"/>
        <v/>
      </c>
      <c r="Q22" s="16">
        <v>0.74370000000000003</v>
      </c>
      <c r="R22" t="str">
        <f t="shared" si="2"/>
        <v/>
      </c>
      <c r="S22" s="16">
        <v>0.70989999999999998</v>
      </c>
      <c r="T22" t="str">
        <f t="shared" si="3"/>
        <v/>
      </c>
      <c r="U22" s="16">
        <v>0.88829999999999998</v>
      </c>
      <c r="V22" t="str">
        <f t="shared" si="4"/>
        <v/>
      </c>
      <c r="W22" s="17" t="s">
        <v>49</v>
      </c>
      <c r="X22" t="str">
        <f t="shared" si="5"/>
        <v/>
      </c>
    </row>
    <row r="23" spans="1:24" x14ac:dyDescent="0.3">
      <c r="A23" s="3" t="s">
        <v>29</v>
      </c>
      <c r="B23">
        <f>33-16</f>
        <v>17</v>
      </c>
      <c r="C23">
        <f>10-6</f>
        <v>4</v>
      </c>
      <c r="D23">
        <f>0-2</f>
        <v>-2</v>
      </c>
      <c r="E23">
        <f>24-16</f>
        <v>8</v>
      </c>
      <c r="F23">
        <f>59-46</f>
        <v>13</v>
      </c>
      <c r="G23">
        <f>38-17</f>
        <v>21</v>
      </c>
      <c r="H23">
        <f>51-39</f>
        <v>12</v>
      </c>
      <c r="I23">
        <f>71-56</f>
        <v>15</v>
      </c>
      <c r="J23">
        <f>14-11</f>
        <v>3</v>
      </c>
      <c r="K23" s="32">
        <f>_xlfn.T.TEST(B23:J23,$B$25:$J$25,2,1)</f>
        <v>1.9493800867337954E-2</v>
      </c>
      <c r="L23" s="11" t="str">
        <f t="shared" si="0"/>
        <v>*</v>
      </c>
      <c r="M23">
        <f t="shared" si="10"/>
        <v>11</v>
      </c>
      <c r="N23">
        <f t="shared" si="11"/>
        <v>2.4688535993934706</v>
      </c>
      <c r="O23" s="25">
        <v>2.8000000000000001E-2</v>
      </c>
      <c r="P23" t="str">
        <f t="shared" si="1"/>
        <v>*</v>
      </c>
      <c r="Q23" s="14">
        <v>2.46E-2</v>
      </c>
      <c r="R23" t="str">
        <f t="shared" si="2"/>
        <v>*</v>
      </c>
      <c r="S23" s="14">
        <v>2.8400000000000002E-2</v>
      </c>
      <c r="T23" t="str">
        <f t="shared" si="3"/>
        <v>*</v>
      </c>
      <c r="U23" s="14">
        <v>7.1999999999999998E-3</v>
      </c>
      <c r="V23" t="str">
        <f t="shared" si="4"/>
        <v>**</v>
      </c>
      <c r="W23" s="14">
        <v>1.2200000000000001E-2</v>
      </c>
      <c r="X23" t="str">
        <f t="shared" si="5"/>
        <v>*</v>
      </c>
    </row>
    <row r="24" spans="1:24" x14ac:dyDescent="0.3">
      <c r="A24" s="3" t="s">
        <v>48</v>
      </c>
      <c r="B24">
        <f>21-8</f>
        <v>13</v>
      </c>
      <c r="C24">
        <f>16-9</f>
        <v>7</v>
      </c>
      <c r="D24">
        <f>1-1</f>
        <v>0</v>
      </c>
      <c r="E24">
        <f>16-16</f>
        <v>0</v>
      </c>
      <c r="F24">
        <f>46-45</f>
        <v>1</v>
      </c>
      <c r="G24">
        <f>29-32</f>
        <v>-3</v>
      </c>
      <c r="H24">
        <f>47-43</f>
        <v>4</v>
      </c>
      <c r="I24">
        <f>47-53</f>
        <v>-6</v>
      </c>
      <c r="J24">
        <f>8-2</f>
        <v>6</v>
      </c>
      <c r="K24" s="25">
        <f>_xlfn.T.TEST(B24:J24,$B$25:$J$25,2,1)</f>
        <v>0.80186782621619968</v>
      </c>
      <c r="L24" t="str">
        <f t="shared" si="0"/>
        <v/>
      </c>
      <c r="M24">
        <f t="shared" si="10"/>
        <v>2</v>
      </c>
      <c r="N24">
        <f t="shared" si="11"/>
        <v>1.9840634910475865</v>
      </c>
      <c r="O24" s="25">
        <v>0.72599999999999998</v>
      </c>
      <c r="P24" t="str">
        <f t="shared" si="1"/>
        <v/>
      </c>
      <c r="Q24" s="16">
        <v>0.50429999999999997</v>
      </c>
      <c r="R24" t="str">
        <f t="shared" si="2"/>
        <v/>
      </c>
      <c r="S24" s="16">
        <v>0.50609999999999999</v>
      </c>
      <c r="T24" t="str">
        <f t="shared" si="3"/>
        <v/>
      </c>
      <c r="U24" s="16">
        <v>0.8266</v>
      </c>
      <c r="V24" t="str">
        <f t="shared" si="4"/>
        <v/>
      </c>
      <c r="W24" s="16">
        <v>0.9778</v>
      </c>
      <c r="X24" t="str">
        <f t="shared" si="5"/>
        <v/>
      </c>
    </row>
    <row r="25" spans="1:24" x14ac:dyDescent="0.3">
      <c r="A25" s="3" t="s">
        <v>31</v>
      </c>
      <c r="B25">
        <f>26-17</f>
        <v>9</v>
      </c>
      <c r="C25">
        <f>8-12</f>
        <v>-4</v>
      </c>
      <c r="D25">
        <f>16-13</f>
        <v>3</v>
      </c>
      <c r="E25">
        <f>18-9</f>
        <v>9</v>
      </c>
      <c r="F25">
        <f>51-55</f>
        <v>-4</v>
      </c>
      <c r="G25">
        <f>16-16</f>
        <v>0</v>
      </c>
      <c r="H25">
        <f>58-54</f>
        <v>4</v>
      </c>
      <c r="I25">
        <f>42-42</f>
        <v>0</v>
      </c>
      <c r="J25">
        <f>3-3</f>
        <v>0</v>
      </c>
      <c r="K25" t="s">
        <v>6</v>
      </c>
      <c r="M25">
        <f t="shared" si="10"/>
        <v>2.125</v>
      </c>
      <c r="N25">
        <f t="shared" si="11"/>
        <v>1.7037540250217393</v>
      </c>
      <c r="Q25" s="16">
        <v>0.74180000000000001</v>
      </c>
      <c r="R25" t="str">
        <f t="shared" si="2"/>
        <v/>
      </c>
      <c r="S25" s="17" t="s">
        <v>49</v>
      </c>
      <c r="T25" t="str">
        <f t="shared" si="3"/>
        <v/>
      </c>
      <c r="U25" s="16">
        <v>0.1128</v>
      </c>
      <c r="V25" t="str">
        <f t="shared" si="4"/>
        <v/>
      </c>
      <c r="W25" s="16">
        <v>0.10639999999999999</v>
      </c>
      <c r="X25" t="str">
        <f t="shared" si="5"/>
        <v/>
      </c>
    </row>
    <row r="26" spans="1:24" x14ac:dyDescent="0.3">
      <c r="A26" s="2" t="s">
        <v>30</v>
      </c>
      <c r="B26">
        <f>15-10</f>
        <v>5</v>
      </c>
      <c r="C26" s="4">
        <f>9-9</f>
        <v>0</v>
      </c>
      <c r="D26">
        <f>8-9</f>
        <v>-1</v>
      </c>
      <c r="E26">
        <f>18-13</f>
        <v>5</v>
      </c>
      <c r="F26">
        <f>53-45</f>
        <v>8</v>
      </c>
      <c r="G26">
        <f>17-16</f>
        <v>1</v>
      </c>
      <c r="H26">
        <f>40-59</f>
        <v>-19</v>
      </c>
      <c r="I26">
        <f>34-44</f>
        <v>-10</v>
      </c>
      <c r="J26">
        <f>3-7</f>
        <v>-4</v>
      </c>
      <c r="K26" t="s">
        <v>6</v>
      </c>
      <c r="M26">
        <f t="shared" si="10"/>
        <v>-1.375</v>
      </c>
      <c r="N26">
        <f t="shared" si="11"/>
        <v>2.9864110222222919</v>
      </c>
      <c r="Q26" s="16">
        <v>0.91169999999999995</v>
      </c>
      <c r="R26" t="str">
        <f t="shared" si="2"/>
        <v/>
      </c>
      <c r="S26" s="16">
        <v>0.62280000000000002</v>
      </c>
      <c r="T26" t="str">
        <f t="shared" si="3"/>
        <v/>
      </c>
      <c r="U26" s="16">
        <v>0.91869999999999996</v>
      </c>
      <c r="V26" t="str">
        <f t="shared" si="4"/>
        <v/>
      </c>
      <c r="W26" s="16">
        <v>0.81710000000000005</v>
      </c>
      <c r="X26" t="str">
        <f t="shared" si="5"/>
        <v/>
      </c>
    </row>
  </sheetData>
  <pageMargins left="0.7" right="0.7" top="0.75" bottom="0.75" header="0.3" footer="0.3"/>
  <pageSetup paperSize="9" orientation="portrait" r:id="rId1"/>
  <ignoredErrors>
    <ignoredError sqref="M3:N3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6"/>
  <sheetViews>
    <sheetView zoomScaleNormal="100" workbookViewId="0">
      <selection activeCell="A16" sqref="A16"/>
    </sheetView>
  </sheetViews>
  <sheetFormatPr defaultRowHeight="14.4" x14ac:dyDescent="0.3"/>
  <cols>
    <col min="1" max="1" width="28.77734375" customWidth="1"/>
    <col min="2" max="8" width="10.77734375" customWidth="1"/>
    <col min="9" max="9" width="12.77734375" customWidth="1"/>
    <col min="10" max="12" width="10.77734375" customWidth="1"/>
    <col min="15" max="15" width="26.77734375" customWidth="1"/>
    <col min="16" max="16" width="26.6640625" customWidth="1"/>
    <col min="17" max="17" width="30.6640625" customWidth="1"/>
    <col min="18" max="18" width="12.44140625" customWidth="1"/>
  </cols>
  <sheetData>
    <row r="1" spans="1:18" s="7" customFormat="1" x14ac:dyDescent="0.3">
      <c r="A1" s="7" t="s">
        <v>32</v>
      </c>
      <c r="B1" s="7" t="s">
        <v>0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8</v>
      </c>
      <c r="I1" s="7" t="s">
        <v>42</v>
      </c>
      <c r="J1" s="7" t="s">
        <v>15</v>
      </c>
      <c r="K1" s="7" t="s">
        <v>14</v>
      </c>
      <c r="L1" s="7" t="s">
        <v>13</v>
      </c>
      <c r="M1" s="7" t="s">
        <v>41</v>
      </c>
      <c r="N1" s="7" t="s">
        <v>15</v>
      </c>
      <c r="O1" s="7" t="s">
        <v>43</v>
      </c>
      <c r="P1" s="7" t="s">
        <v>15</v>
      </c>
      <c r="Q1" s="7" t="s">
        <v>44</v>
      </c>
      <c r="R1" s="7" t="s">
        <v>15</v>
      </c>
    </row>
    <row r="2" spans="1:18" x14ac:dyDescent="0.3">
      <c r="A2" s="3" t="s">
        <v>16</v>
      </c>
      <c r="B2">
        <f>14-19</f>
        <v>-5</v>
      </c>
      <c r="C2">
        <f>16-19</f>
        <v>-3</v>
      </c>
      <c r="D2">
        <f>16-16</f>
        <v>0</v>
      </c>
      <c r="E2">
        <f>32-32</f>
        <v>0</v>
      </c>
      <c r="F2">
        <f>30-26</f>
        <v>4</v>
      </c>
      <c r="G2">
        <f>15-16</f>
        <v>-1</v>
      </c>
      <c r="H2">
        <f>30-28</f>
        <v>2</v>
      </c>
      <c r="I2" s="25">
        <f>_xlfn.T.TEST(B2:H2,$B$25:$H$25,2,1)</f>
        <v>0.88957907191891228</v>
      </c>
      <c r="J2" t="str">
        <f>IF(I2&lt;=0.05,IF(I2&lt;0.01,IF(I2&lt;0.001,"***","**"),"*"),"")</f>
        <v/>
      </c>
      <c r="K2">
        <f>AVERAGE(B2:G2)</f>
        <v>-0.83333333333333337</v>
      </c>
      <c r="L2">
        <f>STDEV(B2:G2)/SQRT(6)</f>
        <v>1.2494443209327541</v>
      </c>
      <c r="M2" s="25">
        <f>0.916</f>
        <v>0.91600000000000004</v>
      </c>
      <c r="N2" t="str">
        <f>IF(M2&lt;=0.05,IF(M2&lt;0.01,IF(M2&lt;0.001,"***","**"),"*"),"")</f>
        <v/>
      </c>
      <c r="O2" s="18">
        <v>1.06E-2</v>
      </c>
      <c r="P2" t="str">
        <f>IF(O2&lt;=0.05,IF(O2&lt;0.01,IF(O2&lt;0.001,"***","**"),"*"),"")</f>
        <v>*</v>
      </c>
      <c r="Q2" s="18">
        <v>5.9999999999999995E-4</v>
      </c>
      <c r="R2" t="str">
        <f>IF(Q2&lt;=0.05,IF(Q2&lt;0.01,IF(Q2&lt;0.001,"***","**"),"*"),"")</f>
        <v>***</v>
      </c>
    </row>
    <row r="3" spans="1:18" ht="14.4" customHeight="1" x14ac:dyDescent="0.3">
      <c r="A3" s="6" t="s">
        <v>17</v>
      </c>
      <c r="B3">
        <f>12-15</f>
        <v>-3</v>
      </c>
      <c r="C3">
        <f>20-29</f>
        <v>-9</v>
      </c>
      <c r="D3">
        <f>20-23</f>
        <v>-3</v>
      </c>
      <c r="E3">
        <f>27-21</f>
        <v>6</v>
      </c>
      <c r="F3">
        <f>34-34</f>
        <v>0</v>
      </c>
      <c r="G3">
        <f>10-14</f>
        <v>-4</v>
      </c>
      <c r="H3">
        <f>16-17</f>
        <v>-1</v>
      </c>
      <c r="I3" s="25">
        <f>_xlfn.T.TEST(B3:H3,$B$26:$H$26,2,1)</f>
        <v>0.47943204997655042</v>
      </c>
      <c r="J3" t="str">
        <f t="shared" ref="J3:J24" si="0">IF(I3&lt;=0.05,IF(I3&lt;0.01,IF(I3&lt;0.001,"***","**"),"*"),"")</f>
        <v/>
      </c>
      <c r="K3">
        <f t="shared" ref="K3:K26" si="1">AVERAGE(B3:G3)</f>
        <v>-2.1666666666666665</v>
      </c>
      <c r="L3">
        <f t="shared" ref="L3:L26" si="2">STDEV(B3:G3)/SQRT(6)</f>
        <v>2.0234733614368254</v>
      </c>
      <c r="M3" s="25">
        <v>0.44500000000000001</v>
      </c>
      <c r="N3" t="str">
        <f t="shared" ref="N3:N24" si="3">IF(M3&lt;=0.05,IF(M3&lt;0.01,IF(M3&lt;0.001,"***","**"),"*"),"")</f>
        <v/>
      </c>
      <c r="O3" s="19">
        <v>0.44290000000000002</v>
      </c>
      <c r="P3" t="str">
        <f t="shared" ref="P3:P26" si="4">IF(O3&lt;=0.05,IF(O3&lt;0.01,IF(O3&lt;0.001,"***","**"),"*"),"")</f>
        <v/>
      </c>
      <c r="Q3" s="19">
        <v>0.32750000000000001</v>
      </c>
      <c r="R3" t="str">
        <f t="shared" ref="R3:R26" si="5">IF(Q3&lt;=0.05,IF(Q3&lt;0.01,IF(Q3&lt;0.001,"***","**"),"*"),"")</f>
        <v/>
      </c>
    </row>
    <row r="4" spans="1:18" x14ac:dyDescent="0.3">
      <c r="A4" s="2" t="s">
        <v>18</v>
      </c>
      <c r="B4">
        <f>18-11</f>
        <v>7</v>
      </c>
      <c r="C4">
        <f>27-25</f>
        <v>2</v>
      </c>
      <c r="D4">
        <f>17-17</f>
        <v>0</v>
      </c>
      <c r="E4">
        <f>24-18</f>
        <v>6</v>
      </c>
      <c r="F4">
        <f>29-13</f>
        <v>16</v>
      </c>
      <c r="G4">
        <f>0-17</f>
        <v>-17</v>
      </c>
      <c r="H4">
        <f>19-14</f>
        <v>5</v>
      </c>
      <c r="I4" s="25">
        <f>_xlfn.T.TEST(B4:H4,$B$26:$H$26,2,1)</f>
        <v>0.52331302799609847</v>
      </c>
      <c r="J4" t="str">
        <f t="shared" si="0"/>
        <v/>
      </c>
      <c r="K4">
        <f t="shared" si="1"/>
        <v>2.3333333333333335</v>
      </c>
      <c r="L4">
        <f t="shared" si="2"/>
        <v>4.4771022374348846</v>
      </c>
      <c r="M4" s="25">
        <v>0.249</v>
      </c>
      <c r="N4" t="str">
        <f t="shared" si="3"/>
        <v/>
      </c>
      <c r="O4" s="19">
        <v>0.63119999999999998</v>
      </c>
      <c r="P4" t="str">
        <f t="shared" si="4"/>
        <v/>
      </c>
      <c r="Q4" s="19">
        <v>0.60960000000000003</v>
      </c>
      <c r="R4" t="str">
        <f t="shared" si="5"/>
        <v/>
      </c>
    </row>
    <row r="5" spans="1:18" x14ac:dyDescent="0.3">
      <c r="A5" s="3" t="s">
        <v>21</v>
      </c>
      <c r="B5">
        <f>22-14</f>
        <v>8</v>
      </c>
      <c r="C5">
        <f>14-15</f>
        <v>-1</v>
      </c>
      <c r="D5">
        <f>14-13</f>
        <v>1</v>
      </c>
      <c r="E5">
        <f>29-12</f>
        <v>17</v>
      </c>
      <c r="F5">
        <f>20-29</f>
        <v>-9</v>
      </c>
      <c r="G5">
        <f>19-16</f>
        <v>3</v>
      </c>
      <c r="H5">
        <f>15-24</f>
        <v>-9</v>
      </c>
      <c r="I5" s="25">
        <f t="shared" ref="I5:I24" si="6">_xlfn.T.TEST(B5:H5,$B$25:$H$25,2,1)</f>
        <v>0.73576485987981188</v>
      </c>
      <c r="J5" t="str">
        <f t="shared" si="0"/>
        <v/>
      </c>
      <c r="K5">
        <f t="shared" si="1"/>
        <v>3.1666666666666665</v>
      </c>
      <c r="L5">
        <f t="shared" si="2"/>
        <v>3.5815887225891498</v>
      </c>
      <c r="M5" s="25">
        <v>0.86599999999999999</v>
      </c>
      <c r="N5" t="str">
        <f t="shared" si="3"/>
        <v/>
      </c>
      <c r="O5" s="19">
        <v>0.92049999999999998</v>
      </c>
      <c r="P5" t="str">
        <f t="shared" si="4"/>
        <v/>
      </c>
      <c r="Q5" s="20" t="s">
        <v>49</v>
      </c>
      <c r="R5" t="str">
        <f t="shared" si="5"/>
        <v/>
      </c>
    </row>
    <row r="6" spans="1:18" x14ac:dyDescent="0.3">
      <c r="A6" s="3" t="s">
        <v>22</v>
      </c>
      <c r="B6">
        <f>37-11</f>
        <v>26</v>
      </c>
      <c r="C6">
        <f>30-9</f>
        <v>21</v>
      </c>
      <c r="D6">
        <f>52-33</f>
        <v>19</v>
      </c>
      <c r="E6">
        <f>35-16</f>
        <v>19</v>
      </c>
      <c r="F6">
        <f>47-31</f>
        <v>16</v>
      </c>
      <c r="G6">
        <f>44-17</f>
        <v>27</v>
      </c>
      <c r="H6">
        <f>38-22</f>
        <v>16</v>
      </c>
      <c r="I6" s="33">
        <f t="shared" si="6"/>
        <v>6.0912791204426509E-5</v>
      </c>
      <c r="J6" s="10" t="str">
        <f t="shared" si="0"/>
        <v>***</v>
      </c>
      <c r="K6">
        <f t="shared" si="1"/>
        <v>21.333333333333332</v>
      </c>
      <c r="L6">
        <f t="shared" si="2"/>
        <v>1.7638342073763951</v>
      </c>
      <c r="M6" s="25">
        <v>1.7999999999999999E-2</v>
      </c>
      <c r="N6" t="str">
        <f t="shared" si="3"/>
        <v>*</v>
      </c>
      <c r="O6" s="19">
        <v>0.26619999999999999</v>
      </c>
      <c r="P6" t="str">
        <f t="shared" si="4"/>
        <v/>
      </c>
      <c r="Q6" s="19">
        <v>0.64100000000000001</v>
      </c>
      <c r="R6" t="str">
        <f t="shared" si="5"/>
        <v/>
      </c>
    </row>
    <row r="7" spans="1:18" x14ac:dyDescent="0.3">
      <c r="A7" s="3" t="s">
        <v>23</v>
      </c>
      <c r="B7">
        <f>27-9</f>
        <v>18</v>
      </c>
      <c r="C7">
        <f>27-25</f>
        <v>2</v>
      </c>
      <c r="D7">
        <f>36-14</f>
        <v>22</v>
      </c>
      <c r="E7">
        <f>35-25</f>
        <v>10</v>
      </c>
      <c r="F7">
        <f>33-20</f>
        <v>13</v>
      </c>
      <c r="G7">
        <f>25-24</f>
        <v>1</v>
      </c>
      <c r="H7">
        <f>17-12</f>
        <v>5</v>
      </c>
      <c r="I7" s="33">
        <f t="shared" si="6"/>
        <v>1.668998431583146E-2</v>
      </c>
      <c r="J7" s="10" t="str">
        <f t="shared" si="0"/>
        <v>*</v>
      </c>
      <c r="K7">
        <f t="shared" si="1"/>
        <v>11</v>
      </c>
      <c r="L7">
        <f t="shared" si="2"/>
        <v>3.4448028487370168</v>
      </c>
      <c r="M7" s="25">
        <v>1.7999999999999999E-2</v>
      </c>
      <c r="N7" t="str">
        <f t="shared" si="3"/>
        <v>*</v>
      </c>
      <c r="O7" s="19">
        <v>0.23480000000000001</v>
      </c>
      <c r="P7" t="str">
        <f t="shared" si="4"/>
        <v/>
      </c>
      <c r="Q7" s="19">
        <v>0.22090000000000001</v>
      </c>
      <c r="R7" t="str">
        <f t="shared" si="5"/>
        <v/>
      </c>
    </row>
    <row r="8" spans="1:18" x14ac:dyDescent="0.3">
      <c r="A8" s="3" t="s">
        <v>34</v>
      </c>
      <c r="B8">
        <f>24-7</f>
        <v>17</v>
      </c>
      <c r="C8">
        <f>25-15</f>
        <v>10</v>
      </c>
      <c r="D8">
        <f>29-17</f>
        <v>12</v>
      </c>
      <c r="E8">
        <f>37-18</f>
        <v>19</v>
      </c>
      <c r="F8">
        <f>20-13</f>
        <v>7</v>
      </c>
      <c r="G8">
        <f>26-22</f>
        <v>4</v>
      </c>
      <c r="H8">
        <f>52-25</f>
        <v>27</v>
      </c>
      <c r="I8" s="33">
        <f t="shared" si="6"/>
        <v>3.8271443853057597E-3</v>
      </c>
      <c r="J8" s="10" t="str">
        <f t="shared" si="0"/>
        <v>**</v>
      </c>
      <c r="K8">
        <f>AVERAGE(B8:H8)</f>
        <v>13.714285714285714</v>
      </c>
      <c r="L8">
        <f t="shared" si="2"/>
        <v>2.3487585373270425</v>
      </c>
      <c r="M8" s="25">
        <v>1.7999999999999999E-2</v>
      </c>
      <c r="N8" t="str">
        <f t="shared" si="3"/>
        <v>*</v>
      </c>
      <c r="O8" s="19">
        <v>0.63009999999999999</v>
      </c>
      <c r="P8" t="str">
        <f t="shared" si="4"/>
        <v/>
      </c>
      <c r="Q8" s="19">
        <v>0.64510000000000001</v>
      </c>
      <c r="R8" t="str">
        <f t="shared" si="5"/>
        <v/>
      </c>
    </row>
    <row r="9" spans="1:18" x14ac:dyDescent="0.3">
      <c r="A9" s="3" t="s">
        <v>46</v>
      </c>
      <c r="B9">
        <f>16-17</f>
        <v>-1</v>
      </c>
      <c r="C9">
        <f>17-16</f>
        <v>1</v>
      </c>
      <c r="D9">
        <f>15-13</f>
        <v>2</v>
      </c>
      <c r="E9">
        <f>29-28</f>
        <v>1</v>
      </c>
      <c r="F9">
        <f>22-21</f>
        <v>1</v>
      </c>
      <c r="G9">
        <f>21-14</f>
        <v>7</v>
      </c>
      <c r="H9">
        <f>27-16</f>
        <v>11</v>
      </c>
      <c r="I9" s="25">
        <f t="shared" si="6"/>
        <v>0.14682999721130455</v>
      </c>
      <c r="J9" t="str">
        <f t="shared" si="0"/>
        <v/>
      </c>
      <c r="K9">
        <f t="shared" si="1"/>
        <v>1.8333333333333333</v>
      </c>
      <c r="L9">
        <f t="shared" si="2"/>
        <v>1.1080513425729774</v>
      </c>
      <c r="M9" s="25">
        <v>0.115</v>
      </c>
      <c r="N9" t="str">
        <f t="shared" si="3"/>
        <v/>
      </c>
      <c r="O9" s="18">
        <v>0.03</v>
      </c>
      <c r="P9" t="str">
        <f t="shared" si="4"/>
        <v>*</v>
      </c>
      <c r="Q9" s="18">
        <v>6.4000000000000003E-3</v>
      </c>
      <c r="R9" t="str">
        <f t="shared" si="5"/>
        <v>**</v>
      </c>
    </row>
    <row r="10" spans="1:18" x14ac:dyDescent="0.3">
      <c r="A10" s="2" t="s">
        <v>47</v>
      </c>
      <c r="B10">
        <f>38-12</f>
        <v>26</v>
      </c>
      <c r="C10">
        <f>42-15</f>
        <v>27</v>
      </c>
      <c r="D10">
        <f>39-19</f>
        <v>20</v>
      </c>
      <c r="E10">
        <f>27-7</f>
        <v>20</v>
      </c>
      <c r="F10">
        <f>40-19</f>
        <v>21</v>
      </c>
      <c r="G10">
        <f>42-10</f>
        <v>32</v>
      </c>
      <c r="H10">
        <f>78-18</f>
        <v>60</v>
      </c>
      <c r="I10" s="25">
        <f>_xlfn.T.TEST(B10:H10,$B$26:$H$26,2,1)</f>
        <v>9.5834572233982314E-4</v>
      </c>
      <c r="J10" t="str">
        <f t="shared" si="0"/>
        <v>***</v>
      </c>
      <c r="K10">
        <f t="shared" si="1"/>
        <v>24.333333333333332</v>
      </c>
      <c r="L10">
        <f t="shared" si="2"/>
        <v>1.9776529298921783</v>
      </c>
      <c r="M10" s="33">
        <v>1.7999999999999999E-2</v>
      </c>
      <c r="N10" t="str">
        <f t="shared" si="3"/>
        <v>*</v>
      </c>
      <c r="O10" s="19">
        <v>0.30769999999999997</v>
      </c>
      <c r="P10" t="str">
        <f t="shared" si="4"/>
        <v/>
      </c>
      <c r="Q10" s="19">
        <v>0.45279999999999998</v>
      </c>
      <c r="R10" t="str">
        <f t="shared" si="5"/>
        <v/>
      </c>
    </row>
    <row r="11" spans="1:18" x14ac:dyDescent="0.3">
      <c r="A11" s="3" t="s">
        <v>38</v>
      </c>
      <c r="B11">
        <f>29-11</f>
        <v>18</v>
      </c>
      <c r="C11">
        <f>50-19</f>
        <v>31</v>
      </c>
      <c r="D11">
        <f>31-15</f>
        <v>16</v>
      </c>
      <c r="E11">
        <f>48-27</f>
        <v>21</v>
      </c>
      <c r="F11">
        <f>60-49</f>
        <v>11</v>
      </c>
      <c r="G11">
        <f>61-11</f>
        <v>50</v>
      </c>
      <c r="H11">
        <f>69-17</f>
        <v>52</v>
      </c>
      <c r="I11" s="33">
        <f t="shared" si="6"/>
        <v>3.8444807255948975E-3</v>
      </c>
      <c r="J11" s="10" t="str">
        <f t="shared" si="0"/>
        <v>**</v>
      </c>
      <c r="K11">
        <f t="shared" si="1"/>
        <v>24.5</v>
      </c>
      <c r="L11">
        <f t="shared" si="2"/>
        <v>5.7778311963342555</v>
      </c>
      <c r="M11" s="25">
        <v>1.7999999999999999E-2</v>
      </c>
      <c r="N11" t="str">
        <f t="shared" si="3"/>
        <v>*</v>
      </c>
      <c r="O11" s="19">
        <v>0.67830000000000001</v>
      </c>
      <c r="P11" t="str">
        <f t="shared" si="4"/>
        <v/>
      </c>
      <c r="Q11" s="19">
        <v>0.64449999999999996</v>
      </c>
      <c r="R11" t="str">
        <f t="shared" si="5"/>
        <v/>
      </c>
    </row>
    <row r="12" spans="1:18" x14ac:dyDescent="0.3">
      <c r="A12" s="3" t="s">
        <v>19</v>
      </c>
      <c r="B12">
        <f>19-12</f>
        <v>7</v>
      </c>
      <c r="C12">
        <f>12-13</f>
        <v>-1</v>
      </c>
      <c r="D12">
        <f>13-16</f>
        <v>-3</v>
      </c>
      <c r="E12">
        <f>27-13</f>
        <v>14</v>
      </c>
      <c r="F12">
        <f>27-32</f>
        <v>-5</v>
      </c>
      <c r="G12">
        <f>16-20</f>
        <v>-4</v>
      </c>
      <c r="H12">
        <f>22-19</f>
        <v>3</v>
      </c>
      <c r="I12" s="25">
        <f t="shared" si="6"/>
        <v>0.62715405113353451</v>
      </c>
      <c r="J12" t="str">
        <f t="shared" si="0"/>
        <v/>
      </c>
      <c r="K12">
        <f t="shared" si="1"/>
        <v>1.3333333333333333</v>
      </c>
      <c r="L12">
        <f t="shared" si="2"/>
        <v>3.0840089349921009</v>
      </c>
      <c r="M12" s="25">
        <v>0.83299999999999996</v>
      </c>
      <c r="N12" t="str">
        <f t="shared" si="3"/>
        <v/>
      </c>
      <c r="O12" s="19">
        <v>0.67110000000000003</v>
      </c>
      <c r="P12" t="str">
        <f t="shared" si="4"/>
        <v/>
      </c>
      <c r="Q12" s="19">
        <v>0.97319999999999995</v>
      </c>
      <c r="R12" t="str">
        <f t="shared" si="5"/>
        <v/>
      </c>
    </row>
    <row r="13" spans="1:18" x14ac:dyDescent="0.3">
      <c r="A13" s="3" t="s">
        <v>20</v>
      </c>
      <c r="B13">
        <f>16-15</f>
        <v>1</v>
      </c>
      <c r="C13">
        <f>13-17</f>
        <v>-4</v>
      </c>
      <c r="D13">
        <f>12-7</f>
        <v>5</v>
      </c>
      <c r="E13">
        <f>16-16</f>
        <v>0</v>
      </c>
      <c r="F13">
        <f>25-19</f>
        <v>6</v>
      </c>
      <c r="G13">
        <f>20-24</f>
        <v>-4</v>
      </c>
      <c r="H13">
        <f>25-34</f>
        <v>-9</v>
      </c>
      <c r="I13" s="25">
        <f t="shared" si="6"/>
        <v>0.83497343629418064</v>
      </c>
      <c r="J13" t="str">
        <f t="shared" si="0"/>
        <v/>
      </c>
      <c r="K13">
        <f t="shared" si="1"/>
        <v>0.66666666666666663</v>
      </c>
      <c r="L13">
        <f t="shared" si="2"/>
        <v>1.7448336437736536</v>
      </c>
      <c r="M13" s="25">
        <v>933</v>
      </c>
      <c r="N13" t="str">
        <f t="shared" si="3"/>
        <v/>
      </c>
      <c r="O13" s="19">
        <v>0.41889999999999999</v>
      </c>
      <c r="P13" t="str">
        <f t="shared" si="4"/>
        <v/>
      </c>
      <c r="Q13" s="19">
        <v>0.53790000000000004</v>
      </c>
      <c r="R13" t="str">
        <f t="shared" si="5"/>
        <v/>
      </c>
    </row>
    <row r="14" spans="1:18" x14ac:dyDescent="0.3">
      <c r="A14" s="3" t="s">
        <v>36</v>
      </c>
      <c r="B14">
        <f>84-6</f>
        <v>78</v>
      </c>
      <c r="C14">
        <f>81-28</f>
        <v>53</v>
      </c>
      <c r="D14">
        <f>35-11</f>
        <v>24</v>
      </c>
      <c r="E14">
        <f>47-21</f>
        <v>26</v>
      </c>
      <c r="F14">
        <f>85-40</f>
        <v>45</v>
      </c>
      <c r="G14">
        <f>34-21</f>
        <v>13</v>
      </c>
      <c r="H14">
        <f>55-17</f>
        <v>38</v>
      </c>
      <c r="I14" s="33">
        <f t="shared" si="6"/>
        <v>1.6783129117659131E-3</v>
      </c>
      <c r="J14" s="10" t="str">
        <f t="shared" si="0"/>
        <v>**</v>
      </c>
      <c r="K14">
        <f t="shared" si="1"/>
        <v>39.833333333333336</v>
      </c>
      <c r="L14">
        <f t="shared" si="2"/>
        <v>9.6933539660486527</v>
      </c>
      <c r="M14" s="25">
        <v>1.7999999999999999E-2</v>
      </c>
      <c r="N14" t="str">
        <f t="shared" si="3"/>
        <v>*</v>
      </c>
      <c r="O14" s="19">
        <v>0.48880000000000001</v>
      </c>
      <c r="P14" t="str">
        <f t="shared" si="4"/>
        <v/>
      </c>
      <c r="Q14" s="19">
        <v>0.45569999999999999</v>
      </c>
      <c r="R14" t="str">
        <f t="shared" si="5"/>
        <v/>
      </c>
    </row>
    <row r="15" spans="1:18" x14ac:dyDescent="0.3">
      <c r="A15" s="3" t="s">
        <v>24</v>
      </c>
      <c r="B15">
        <f>16-10</f>
        <v>6</v>
      </c>
      <c r="C15">
        <f>41-39</f>
        <v>2</v>
      </c>
      <c r="D15">
        <f>25-18</f>
        <v>7</v>
      </c>
      <c r="E15">
        <f>27-12</f>
        <v>15</v>
      </c>
      <c r="F15">
        <f>20-10</f>
        <v>10</v>
      </c>
      <c r="G15">
        <f>6-13</f>
        <v>-7</v>
      </c>
      <c r="H15">
        <f>19-14</f>
        <v>5</v>
      </c>
      <c r="I15" s="25">
        <f t="shared" si="6"/>
        <v>0.13953013584602914</v>
      </c>
      <c r="J15" t="str">
        <f t="shared" si="0"/>
        <v/>
      </c>
      <c r="K15">
        <f t="shared" si="1"/>
        <v>5.5</v>
      </c>
      <c r="L15">
        <f t="shared" si="2"/>
        <v>3.0632227038420394</v>
      </c>
      <c r="M15" s="25">
        <v>0.09</v>
      </c>
      <c r="N15" t="str">
        <f t="shared" si="3"/>
        <v/>
      </c>
      <c r="O15" s="18">
        <v>2.98E-2</v>
      </c>
      <c r="P15" t="str">
        <f t="shared" si="4"/>
        <v>*</v>
      </c>
      <c r="Q15" s="18">
        <v>1.17E-2</v>
      </c>
      <c r="R15" t="str">
        <f t="shared" si="5"/>
        <v>*</v>
      </c>
    </row>
    <row r="16" spans="1:18" x14ac:dyDescent="0.3">
      <c r="A16" s="3" t="s">
        <v>57</v>
      </c>
      <c r="B16">
        <f>28-14</f>
        <v>14</v>
      </c>
      <c r="C16">
        <f>24-13</f>
        <v>11</v>
      </c>
      <c r="D16">
        <f>31-17</f>
        <v>14</v>
      </c>
      <c r="E16">
        <f>47-14</f>
        <v>33</v>
      </c>
      <c r="F16">
        <f>47-38</f>
        <v>9</v>
      </c>
      <c r="G16">
        <f>21-15</f>
        <v>6</v>
      </c>
      <c r="H16">
        <f>67-32</f>
        <v>35</v>
      </c>
      <c r="I16" s="33">
        <f t="shared" si="6"/>
        <v>1.1443183815820865E-2</v>
      </c>
      <c r="J16" s="10" t="str">
        <f t="shared" si="0"/>
        <v>*</v>
      </c>
      <c r="K16">
        <f t="shared" si="1"/>
        <v>14.5</v>
      </c>
      <c r="L16">
        <f t="shared" si="2"/>
        <v>3.9051248379533279</v>
      </c>
      <c r="M16" s="25">
        <v>1.7999999999999999E-2</v>
      </c>
      <c r="N16" t="str">
        <f t="shared" si="3"/>
        <v>*</v>
      </c>
      <c r="O16" s="19">
        <v>0.26229999999999998</v>
      </c>
      <c r="P16" t="str">
        <f t="shared" si="4"/>
        <v/>
      </c>
      <c r="Q16" s="19">
        <v>0.43469999999999998</v>
      </c>
      <c r="R16" t="str">
        <f t="shared" si="5"/>
        <v/>
      </c>
    </row>
    <row r="17" spans="1:18" x14ac:dyDescent="0.3">
      <c r="A17" s="2" t="s">
        <v>25</v>
      </c>
      <c r="B17">
        <f>8-12</f>
        <v>-4</v>
      </c>
      <c r="C17">
        <f>22-19</f>
        <v>3</v>
      </c>
      <c r="D17">
        <f>19-18</f>
        <v>1</v>
      </c>
      <c r="E17">
        <f>15-7</f>
        <v>8</v>
      </c>
      <c r="F17">
        <f>22-33</f>
        <v>-11</v>
      </c>
      <c r="G17">
        <f>11-14</f>
        <v>-3</v>
      </c>
      <c r="H17">
        <f>19-15</f>
        <v>4</v>
      </c>
      <c r="I17" s="25">
        <f>_xlfn.T.TEST(B17:H17,$B$26:$H$26,2,1)</f>
        <v>0.94236452810037852</v>
      </c>
      <c r="J17" t="str">
        <f t="shared" si="0"/>
        <v/>
      </c>
      <c r="K17">
        <f t="shared" si="1"/>
        <v>-1</v>
      </c>
      <c r="L17">
        <f t="shared" si="2"/>
        <v>2.6708300832013507</v>
      </c>
      <c r="M17" s="25">
        <v>0.93200000000000005</v>
      </c>
      <c r="N17" t="str">
        <f t="shared" si="3"/>
        <v/>
      </c>
      <c r="O17" s="19">
        <v>0.21260000000000001</v>
      </c>
      <c r="P17" t="str">
        <f t="shared" si="4"/>
        <v/>
      </c>
      <c r="Q17" s="19">
        <v>0.31290000000000001</v>
      </c>
      <c r="R17" t="str">
        <f t="shared" si="5"/>
        <v/>
      </c>
    </row>
    <row r="18" spans="1:18" x14ac:dyDescent="0.3">
      <c r="A18" s="2" t="s">
        <v>33</v>
      </c>
      <c r="B18">
        <f>15-14</f>
        <v>1</v>
      </c>
      <c r="C18">
        <f>18-17</f>
        <v>1</v>
      </c>
      <c r="D18">
        <f>14-13</f>
        <v>1</v>
      </c>
      <c r="E18">
        <f>21-21</f>
        <v>0</v>
      </c>
      <c r="F18">
        <f>31-32</f>
        <v>-1</v>
      </c>
      <c r="G18">
        <f>7-20</f>
        <v>-13</v>
      </c>
      <c r="H18">
        <f>11-20</f>
        <v>-9</v>
      </c>
      <c r="I18" s="25">
        <f t="shared" si="6"/>
        <v>0.32834871593209691</v>
      </c>
      <c r="J18" t="str">
        <f t="shared" si="0"/>
        <v/>
      </c>
      <c r="K18">
        <f t="shared" si="1"/>
        <v>-1.8333333333333333</v>
      </c>
      <c r="L18">
        <f t="shared" si="2"/>
        <v>2.2570876022973603</v>
      </c>
      <c r="M18" s="25">
        <v>0.34499999999999997</v>
      </c>
      <c r="N18" t="str">
        <f t="shared" si="3"/>
        <v/>
      </c>
      <c r="O18" s="19">
        <v>0.93200000000000005</v>
      </c>
      <c r="P18" t="str">
        <f t="shared" si="4"/>
        <v/>
      </c>
      <c r="Q18" s="19">
        <v>0.97319999999999995</v>
      </c>
      <c r="R18" t="str">
        <f t="shared" si="5"/>
        <v/>
      </c>
    </row>
    <row r="19" spans="1:18" x14ac:dyDescent="0.3">
      <c r="A19" s="3" t="s">
        <v>26</v>
      </c>
      <c r="B19">
        <f>15-16</f>
        <v>-1</v>
      </c>
      <c r="C19">
        <f>14-31</f>
        <v>-17</v>
      </c>
      <c r="D19">
        <f>19-14</f>
        <v>5</v>
      </c>
      <c r="E19">
        <f>17-15</f>
        <v>2</v>
      </c>
      <c r="F19">
        <f>29-22</f>
        <v>7</v>
      </c>
      <c r="G19">
        <f>14-20</f>
        <v>-6</v>
      </c>
      <c r="H19">
        <f>17-15</f>
        <v>2</v>
      </c>
      <c r="I19" s="25">
        <f t="shared" si="6"/>
        <v>0.78460297969748349</v>
      </c>
      <c r="J19" t="str">
        <f t="shared" si="0"/>
        <v/>
      </c>
      <c r="K19">
        <f t="shared" si="1"/>
        <v>-1.6666666666666667</v>
      </c>
      <c r="L19">
        <f t="shared" si="2"/>
        <v>3.5932034608564978</v>
      </c>
      <c r="M19" s="25">
        <v>0.93300000000000005</v>
      </c>
      <c r="N19" t="str">
        <f t="shared" si="3"/>
        <v/>
      </c>
      <c r="O19" s="19">
        <v>0.27179999999999999</v>
      </c>
      <c r="P19" t="str">
        <f t="shared" si="4"/>
        <v/>
      </c>
      <c r="Q19" s="19">
        <v>0.6492</v>
      </c>
      <c r="R19" t="str">
        <f t="shared" si="5"/>
        <v/>
      </c>
    </row>
    <row r="20" spans="1:18" x14ac:dyDescent="0.3">
      <c r="A20" s="3" t="s">
        <v>37</v>
      </c>
      <c r="B20">
        <f>13-15</f>
        <v>-2</v>
      </c>
      <c r="C20">
        <f>14-21</f>
        <v>-7</v>
      </c>
      <c r="D20">
        <f>17-15</f>
        <v>2</v>
      </c>
      <c r="E20">
        <f>21-23</f>
        <v>-2</v>
      </c>
      <c r="F20">
        <f>31-28</f>
        <v>3</v>
      </c>
      <c r="G20">
        <f>11-24</f>
        <v>-13</v>
      </c>
      <c r="H20">
        <f>15-15</f>
        <v>0</v>
      </c>
      <c r="I20" s="25">
        <f t="shared" si="6"/>
        <v>0.30585414176524756</v>
      </c>
      <c r="J20" t="str">
        <f t="shared" si="0"/>
        <v/>
      </c>
      <c r="K20">
        <f t="shared" si="1"/>
        <v>-3.1666666666666665</v>
      </c>
      <c r="L20">
        <f t="shared" si="2"/>
        <v>2.4415386769639982</v>
      </c>
      <c r="M20" s="25">
        <v>0.27100000000000002</v>
      </c>
      <c r="N20" t="str">
        <f t="shared" si="3"/>
        <v/>
      </c>
      <c r="O20" s="19">
        <v>8.4000000000000005E-2</v>
      </c>
      <c r="P20" t="str">
        <f t="shared" si="4"/>
        <v/>
      </c>
      <c r="Q20" s="19">
        <v>6.0600000000000001E-2</v>
      </c>
      <c r="R20" t="str">
        <f t="shared" si="5"/>
        <v/>
      </c>
    </row>
    <row r="21" spans="1:18" x14ac:dyDescent="0.3">
      <c r="A21" s="3" t="s">
        <v>27</v>
      </c>
      <c r="B21">
        <f>16-16</f>
        <v>0</v>
      </c>
      <c r="C21">
        <f>24-21</f>
        <v>3</v>
      </c>
      <c r="D21">
        <f>11-11</f>
        <v>0</v>
      </c>
      <c r="E21">
        <f>15-11</f>
        <v>4</v>
      </c>
      <c r="F21">
        <f>23-34</f>
        <v>-11</v>
      </c>
      <c r="G21">
        <f>19-14</f>
        <v>5</v>
      </c>
      <c r="H21">
        <f>17-14</f>
        <v>3</v>
      </c>
      <c r="I21" s="25">
        <f t="shared" si="6"/>
        <v>0.80060422935140219</v>
      </c>
      <c r="J21" t="str">
        <f t="shared" si="0"/>
        <v/>
      </c>
      <c r="K21">
        <f t="shared" si="1"/>
        <v>0.16666666666666666</v>
      </c>
      <c r="L21">
        <f t="shared" si="2"/>
        <v>2.386303510546059</v>
      </c>
      <c r="M21" s="25">
        <v>0.78600000000000003</v>
      </c>
      <c r="N21" t="str">
        <f t="shared" si="3"/>
        <v/>
      </c>
      <c r="O21" s="19">
        <v>0.3841</v>
      </c>
      <c r="P21" t="str">
        <f t="shared" si="4"/>
        <v/>
      </c>
      <c r="Q21" s="19">
        <v>0.56179999999999997</v>
      </c>
      <c r="R21" t="str">
        <f t="shared" si="5"/>
        <v/>
      </c>
    </row>
    <row r="22" spans="1:18" x14ac:dyDescent="0.3">
      <c r="A22" s="3" t="s">
        <v>28</v>
      </c>
      <c r="B22">
        <f>15-18</f>
        <v>-3</v>
      </c>
      <c r="C22">
        <f>23-16</f>
        <v>7</v>
      </c>
      <c r="D22">
        <f>14-7</f>
        <v>7</v>
      </c>
      <c r="E22">
        <f>12-9</f>
        <v>3</v>
      </c>
      <c r="F22">
        <f>36-32</f>
        <v>4</v>
      </c>
      <c r="G22">
        <f>17-15</f>
        <v>2</v>
      </c>
      <c r="H22">
        <f>10-15</f>
        <v>-5</v>
      </c>
      <c r="I22" s="25">
        <f t="shared" si="6"/>
        <v>0.42039504581519704</v>
      </c>
      <c r="J22" t="str">
        <f t="shared" si="0"/>
        <v/>
      </c>
      <c r="K22">
        <f t="shared" si="1"/>
        <v>3.3333333333333335</v>
      </c>
      <c r="L22">
        <f t="shared" si="2"/>
        <v>1.5202339001321841</v>
      </c>
      <c r="M22" s="25">
        <v>0.55300000000000005</v>
      </c>
      <c r="N22" t="str">
        <f t="shared" si="3"/>
        <v/>
      </c>
      <c r="O22" s="19">
        <v>0.78249999999999997</v>
      </c>
      <c r="P22" t="str">
        <f t="shared" si="4"/>
        <v/>
      </c>
      <c r="Q22" s="19">
        <v>0.91139999999999999</v>
      </c>
      <c r="R22" t="str">
        <f t="shared" si="5"/>
        <v/>
      </c>
    </row>
    <row r="23" spans="1:18" x14ac:dyDescent="0.3">
      <c r="A23" s="3" t="s">
        <v>29</v>
      </c>
      <c r="B23">
        <f>12-17</f>
        <v>-5</v>
      </c>
      <c r="C23">
        <f>30-24</f>
        <v>6</v>
      </c>
      <c r="D23">
        <f>21-11</f>
        <v>10</v>
      </c>
      <c r="E23">
        <f>17-18</f>
        <v>-1</v>
      </c>
      <c r="F23">
        <f>17-23</f>
        <v>-6</v>
      </c>
      <c r="G23">
        <f>19-19</f>
        <v>0</v>
      </c>
      <c r="H23">
        <f>18-26</f>
        <v>-8</v>
      </c>
      <c r="I23" s="25">
        <f t="shared" si="6"/>
        <v>0.894318934640567</v>
      </c>
      <c r="J23" t="str">
        <f t="shared" si="0"/>
        <v/>
      </c>
      <c r="K23">
        <f t="shared" si="1"/>
        <v>0.66666666666666663</v>
      </c>
      <c r="L23">
        <f t="shared" si="2"/>
        <v>2.5516878945339516</v>
      </c>
      <c r="M23" s="25">
        <v>0.79900000000000004</v>
      </c>
      <c r="N23" t="str">
        <f t="shared" si="3"/>
        <v/>
      </c>
      <c r="O23" s="19">
        <v>0.39179999999999998</v>
      </c>
      <c r="P23" t="str">
        <f t="shared" si="4"/>
        <v/>
      </c>
      <c r="Q23" s="19">
        <v>0.215</v>
      </c>
      <c r="R23" t="str">
        <f t="shared" si="5"/>
        <v/>
      </c>
    </row>
    <row r="24" spans="1:18" x14ac:dyDescent="0.3">
      <c r="A24" s="3" t="s">
        <v>48</v>
      </c>
      <c r="B24">
        <f>12-21</f>
        <v>-9</v>
      </c>
      <c r="C24">
        <f>21-22</f>
        <v>-1</v>
      </c>
      <c r="D24">
        <f>10-9</f>
        <v>1</v>
      </c>
      <c r="E24">
        <f>9-22</f>
        <v>-13</v>
      </c>
      <c r="F24">
        <f>20-37</f>
        <v>-17</v>
      </c>
      <c r="G24">
        <f>16-17</f>
        <v>-1</v>
      </c>
      <c r="H24">
        <f>18-22</f>
        <v>-4</v>
      </c>
      <c r="I24" s="25">
        <f t="shared" si="6"/>
        <v>5.638044176745672E-2</v>
      </c>
      <c r="J24" t="str">
        <f t="shared" si="0"/>
        <v/>
      </c>
      <c r="K24">
        <f t="shared" si="1"/>
        <v>-6.666666666666667</v>
      </c>
      <c r="L24">
        <f t="shared" si="2"/>
        <v>3.0294847380004706</v>
      </c>
      <c r="M24" s="25">
        <v>6.3E-2</v>
      </c>
      <c r="N24" t="str">
        <f t="shared" si="3"/>
        <v/>
      </c>
      <c r="O24" s="18">
        <v>4.41E-2</v>
      </c>
      <c r="P24" t="str">
        <f t="shared" si="4"/>
        <v>*</v>
      </c>
      <c r="Q24" s="19">
        <v>5.4800000000000001E-2</v>
      </c>
      <c r="R24" t="str">
        <f t="shared" si="5"/>
        <v/>
      </c>
    </row>
    <row r="25" spans="1:18" x14ac:dyDescent="0.3">
      <c r="A25" s="3" t="s">
        <v>31</v>
      </c>
      <c r="B25">
        <f>9-5</f>
        <v>4</v>
      </c>
      <c r="C25">
        <f>26-25</f>
        <v>1</v>
      </c>
      <c r="D25">
        <f>18-18</f>
        <v>0</v>
      </c>
      <c r="E25">
        <f>52-59</f>
        <v>-7</v>
      </c>
      <c r="F25">
        <f>14-14</f>
        <v>0</v>
      </c>
      <c r="G25">
        <f>21-23</f>
        <v>-2</v>
      </c>
      <c r="H25">
        <f>31-28</f>
        <v>3</v>
      </c>
      <c r="I25" t="s">
        <v>6</v>
      </c>
      <c r="K25">
        <f t="shared" si="1"/>
        <v>-0.66666666666666663</v>
      </c>
      <c r="L25">
        <f t="shared" si="2"/>
        <v>1.4981470036162823</v>
      </c>
      <c r="O25" s="19">
        <v>0.5272</v>
      </c>
      <c r="P25" t="str">
        <f t="shared" si="4"/>
        <v/>
      </c>
      <c r="Q25" s="19">
        <v>0.68240000000000001</v>
      </c>
      <c r="R25" t="str">
        <f t="shared" si="5"/>
        <v/>
      </c>
    </row>
    <row r="26" spans="1:18" x14ac:dyDescent="0.3">
      <c r="A26" s="2" t="s">
        <v>30</v>
      </c>
      <c r="B26">
        <f>16-12</f>
        <v>4</v>
      </c>
      <c r="C26">
        <f>23-21</f>
        <v>2</v>
      </c>
      <c r="D26">
        <f>15-16</f>
        <v>-1</v>
      </c>
      <c r="E26">
        <f>29-29</f>
        <v>0</v>
      </c>
      <c r="F26">
        <f>17-24</f>
        <v>-7</v>
      </c>
      <c r="G26">
        <f>13-15</f>
        <v>-2</v>
      </c>
      <c r="H26">
        <f>35-32</f>
        <v>3</v>
      </c>
      <c r="I26" t="s">
        <v>6</v>
      </c>
      <c r="K26">
        <f t="shared" si="1"/>
        <v>-0.66666666666666663</v>
      </c>
      <c r="L26">
        <f t="shared" si="2"/>
        <v>1.5420044674960505</v>
      </c>
      <c r="O26" s="13">
        <v>0.54630000000000001</v>
      </c>
      <c r="P26" t="str">
        <f t="shared" si="4"/>
        <v/>
      </c>
      <c r="Q26" s="19">
        <v>0.4819</v>
      </c>
      <c r="R26" t="str">
        <f t="shared" si="5"/>
        <v/>
      </c>
    </row>
  </sheetData>
  <pageMargins left="0.7" right="0.7" top="0.75" bottom="0.75" header="0.3" footer="0.3"/>
  <ignoredErrors>
    <ignoredError sqref="I10 I17 K8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7"/>
  <sheetViews>
    <sheetView workbookViewId="0">
      <selection activeCell="A16" sqref="A16"/>
    </sheetView>
  </sheetViews>
  <sheetFormatPr defaultRowHeight="14.4" x14ac:dyDescent="0.3"/>
  <cols>
    <col min="1" max="1" width="28.77734375" customWidth="1"/>
    <col min="2" max="5" width="10.77734375" customWidth="1"/>
    <col min="6" max="6" width="12.5546875" customWidth="1"/>
    <col min="7" max="7" width="12.77734375" customWidth="1"/>
    <col min="8" max="9" width="10.77734375" customWidth="1"/>
    <col min="10" max="10" width="12.109375" customWidth="1"/>
    <col min="12" max="12" width="11" customWidth="1"/>
    <col min="13" max="13" width="26.6640625" customWidth="1"/>
    <col min="14" max="14" width="10.88671875" customWidth="1"/>
    <col min="15" max="15" width="29.21875" customWidth="1"/>
    <col min="16" max="16" width="11.44140625" customWidth="1"/>
    <col min="17" max="17" width="27.88671875" customWidth="1"/>
    <col min="18" max="18" width="10.77734375" customWidth="1"/>
    <col min="19" max="19" width="29.33203125" customWidth="1"/>
    <col min="20" max="20" width="10.88671875" customWidth="1"/>
  </cols>
  <sheetData>
    <row r="1" spans="1:20" ht="14.4" customHeight="1" x14ac:dyDescent="0.3">
      <c r="A1" s="7" t="s">
        <v>32</v>
      </c>
      <c r="B1" s="7" t="s">
        <v>0</v>
      </c>
      <c r="C1" s="7" t="s">
        <v>35</v>
      </c>
      <c r="D1" s="7" t="s">
        <v>2</v>
      </c>
      <c r="E1" s="7" t="s">
        <v>4</v>
      </c>
      <c r="F1" s="7" t="s">
        <v>5</v>
      </c>
      <c r="G1" s="7" t="s">
        <v>42</v>
      </c>
      <c r="H1" s="7" t="s">
        <v>15</v>
      </c>
      <c r="I1" s="7" t="s">
        <v>12</v>
      </c>
      <c r="J1" s="7" t="s">
        <v>13</v>
      </c>
      <c r="K1" s="7" t="s">
        <v>41</v>
      </c>
      <c r="L1" s="7" t="s">
        <v>15</v>
      </c>
      <c r="M1" s="7" t="s">
        <v>43</v>
      </c>
      <c r="N1" s="7" t="s">
        <v>15</v>
      </c>
      <c r="O1" s="7" t="s">
        <v>44</v>
      </c>
      <c r="P1" s="7" t="s">
        <v>15</v>
      </c>
      <c r="Q1" s="7" t="s">
        <v>52</v>
      </c>
      <c r="R1" s="7" t="s">
        <v>15</v>
      </c>
      <c r="S1" s="7" t="s">
        <v>53</v>
      </c>
      <c r="T1" s="7" t="s">
        <v>15</v>
      </c>
    </row>
    <row r="2" spans="1:20" ht="14.4" customHeight="1" x14ac:dyDescent="0.3">
      <c r="A2" s="3" t="s">
        <v>16</v>
      </c>
      <c r="B2">
        <f>35-32</f>
        <v>3</v>
      </c>
      <c r="C2">
        <f>39-34</f>
        <v>5</v>
      </c>
      <c r="D2">
        <f>49-41</f>
        <v>8</v>
      </c>
      <c r="E2">
        <f>14-24</f>
        <v>-10</v>
      </c>
      <c r="F2">
        <f>25-25</f>
        <v>0</v>
      </c>
      <c r="G2" s="25">
        <f>_xlfn.T.TEST(B2:F2,$B$25:$F$25,2,1)</f>
        <v>0.78511974325050116</v>
      </c>
      <c r="H2" t="str">
        <f>IF(G2&lt;=0.05,IF(G2&lt;0.01,IF(G2&lt;0.001,"***","**"),"*"),"")</f>
        <v/>
      </c>
      <c r="I2">
        <f>AVERAGE(B2:F2)</f>
        <v>1.2</v>
      </c>
      <c r="J2">
        <f>STDEV(B2:F2)/SQRT(5)</f>
        <v>3.0886890422961</v>
      </c>
      <c r="K2" s="25">
        <v>0.89300000000000002</v>
      </c>
      <c r="L2" t="str">
        <f>IF(K2&lt;=0.05,IF(K2&lt;0.01,IF(K2&lt;0.001,"***","**"),"*"),"")</f>
        <v/>
      </c>
      <c r="M2" s="14">
        <v>4.87E-2</v>
      </c>
      <c r="N2" s="7" t="str">
        <f>IF(M2&lt;=0.05,IF(M2&lt;0.01,IF(M2&lt;0.001,"***","**"),"*"),"")</f>
        <v>*</v>
      </c>
      <c r="O2" s="14">
        <v>3.8E-3</v>
      </c>
      <c r="P2" s="7" t="str">
        <f>IF(O2&lt;=0.05,IF(O2&lt;0.01,IF(O2&lt;0.001,"***","**"),"*"),"")</f>
        <v>**</v>
      </c>
      <c r="Q2" s="16">
        <v>0.58620000000000005</v>
      </c>
      <c r="R2" t="str">
        <f>IF(Q2&lt;=0.05,IF(Q2&lt;0.01,IF(Q2&lt;0.001,"***","**"),"*"),"")</f>
        <v/>
      </c>
      <c r="S2" s="16">
        <v>0.3422</v>
      </c>
      <c r="T2" t="str">
        <f>IF(S2&lt;=0.05,IF(S2&lt;0.01,IF(S2&lt;0.001,"***","**"),"*"),"")</f>
        <v/>
      </c>
    </row>
    <row r="3" spans="1:20" ht="14.4" customHeight="1" x14ac:dyDescent="0.3">
      <c r="A3" s="6" t="s">
        <v>17</v>
      </c>
      <c r="B3">
        <f>30-21</f>
        <v>9</v>
      </c>
      <c r="C3">
        <f>66-55</f>
        <v>11</v>
      </c>
      <c r="D3">
        <f>40-31</f>
        <v>9</v>
      </c>
      <c r="E3">
        <f>41-38</f>
        <v>3</v>
      </c>
      <c r="F3">
        <f>61-58</f>
        <v>3</v>
      </c>
      <c r="G3" s="25">
        <f>_xlfn.T.TEST(B3:F3,$B$26:$F$26,2,1)</f>
        <v>0.24574942994292295</v>
      </c>
      <c r="H3" t="str">
        <f t="shared" ref="H3:H24" si="0">IF(G3&lt;=0.05,IF(G3&lt;0.01,IF(G3&lt;0.001,"***","**"),"*"),"")</f>
        <v/>
      </c>
      <c r="I3">
        <f t="shared" ref="I3:I26" si="1">AVERAGE(B3:F3)</f>
        <v>7</v>
      </c>
      <c r="J3">
        <f t="shared" ref="J3:J26" si="2">STDEV(B3:F3)/SQRT(5)</f>
        <v>1.6733200530681509</v>
      </c>
      <c r="K3" s="25">
        <v>0.22500000000000001</v>
      </c>
      <c r="L3" t="str">
        <f t="shared" ref="L3:L24" si="3">IF(K3&lt;=0.05,IF(K3&lt;0.01,IF(K3&lt;0.001,"***","**"),"*"),"")</f>
        <v/>
      </c>
      <c r="M3" s="21">
        <v>0.13</v>
      </c>
      <c r="N3" s="7" t="str">
        <f t="shared" ref="N3:N26" si="4">IF(M3&lt;=0.05,IF(M3&lt;0.01,IF(M3&lt;0.001,"***","**"),"*"),"")</f>
        <v/>
      </c>
      <c r="O3" s="16">
        <v>0.19070000000000001</v>
      </c>
      <c r="P3" s="7" t="str">
        <f t="shared" ref="P3:P26" si="5">IF(O3&lt;=0.05,IF(O3&lt;0.01,IF(O3&lt;0.001,"***","**"),"*"),"")</f>
        <v/>
      </c>
      <c r="Q3" s="14">
        <v>4.7000000000000002E-3</v>
      </c>
      <c r="R3" t="str">
        <f t="shared" ref="R3:R26" si="6">IF(Q3&lt;=0.05,IF(Q3&lt;0.01,IF(Q3&lt;0.001,"***","**"),"*"),"")</f>
        <v>**</v>
      </c>
      <c r="S3" s="14">
        <v>7.6E-3</v>
      </c>
      <c r="T3" t="str">
        <f t="shared" ref="T3:T26" si="7">IF(S3&lt;=0.05,IF(S3&lt;0.01,IF(S3&lt;0.001,"***","**"),"*"),"")</f>
        <v>**</v>
      </c>
    </row>
    <row r="4" spans="1:20" ht="14.4" customHeight="1" x14ac:dyDescent="0.3">
      <c r="A4" s="2" t="s">
        <v>18</v>
      </c>
      <c r="B4">
        <f>14-20</f>
        <v>-6</v>
      </c>
      <c r="C4">
        <f>43-36</f>
        <v>7</v>
      </c>
      <c r="D4">
        <f>23-34</f>
        <v>-11</v>
      </c>
      <c r="E4">
        <f>28-30</f>
        <v>-2</v>
      </c>
      <c r="F4">
        <f>68-66</f>
        <v>2</v>
      </c>
      <c r="G4" s="25">
        <f>_xlfn.T.TEST(B4:F4,$B$26:$F$26,2,1)</f>
        <v>6.3966530578971809E-2</v>
      </c>
      <c r="H4" t="str">
        <f t="shared" si="0"/>
        <v/>
      </c>
      <c r="I4">
        <f t="shared" si="1"/>
        <v>-2</v>
      </c>
      <c r="J4">
        <f t="shared" si="2"/>
        <v>3.1144823004794873</v>
      </c>
      <c r="K4" s="25">
        <v>0.08</v>
      </c>
      <c r="L4" t="str">
        <f t="shared" si="3"/>
        <v/>
      </c>
      <c r="M4" s="16">
        <v>0.67769999999999997</v>
      </c>
      <c r="N4" s="7" t="str">
        <f t="shared" si="4"/>
        <v/>
      </c>
      <c r="O4" s="21">
        <v>0.5</v>
      </c>
      <c r="P4" s="7" t="str">
        <f t="shared" si="5"/>
        <v/>
      </c>
      <c r="Q4" s="16">
        <v>0.3896</v>
      </c>
      <c r="R4" t="str">
        <f t="shared" si="6"/>
        <v/>
      </c>
      <c r="S4" s="16">
        <v>0.32319999999999999</v>
      </c>
      <c r="T4" t="str">
        <f t="shared" si="7"/>
        <v/>
      </c>
    </row>
    <row r="5" spans="1:20" ht="14.4" customHeight="1" x14ac:dyDescent="0.3">
      <c r="A5" s="3" t="s">
        <v>21</v>
      </c>
      <c r="B5">
        <f>26-15</f>
        <v>11</v>
      </c>
      <c r="C5">
        <f>41-52</f>
        <v>-11</v>
      </c>
      <c r="D5">
        <f>35-25</f>
        <v>10</v>
      </c>
      <c r="E5">
        <f>32-38</f>
        <v>-6</v>
      </c>
      <c r="F5">
        <f>55-52</f>
        <v>3</v>
      </c>
      <c r="G5" s="25">
        <f>_xlfn.T.TEST(B5:F5,$B$25:$F$25,2,1)</f>
        <v>0.86986949818447801</v>
      </c>
      <c r="H5" t="str">
        <f t="shared" si="0"/>
        <v/>
      </c>
      <c r="I5">
        <f t="shared" si="1"/>
        <v>1.4</v>
      </c>
      <c r="J5">
        <f t="shared" si="2"/>
        <v>4.342810150121692</v>
      </c>
      <c r="K5" s="25">
        <v>0.89300000000000002</v>
      </c>
      <c r="L5" t="str">
        <f t="shared" si="3"/>
        <v/>
      </c>
      <c r="M5" s="16">
        <v>0.92220000000000002</v>
      </c>
      <c r="N5" s="7" t="str">
        <f t="shared" si="4"/>
        <v/>
      </c>
      <c r="O5" s="16">
        <v>0.84089999999999998</v>
      </c>
      <c r="P5" s="7" t="str">
        <f t="shared" si="5"/>
        <v/>
      </c>
      <c r="Q5" s="16">
        <v>0.996</v>
      </c>
      <c r="R5" t="str">
        <f t="shared" si="6"/>
        <v/>
      </c>
      <c r="S5" s="16">
        <v>0.90780000000000005</v>
      </c>
      <c r="T5" t="str">
        <f t="shared" si="7"/>
        <v/>
      </c>
    </row>
    <row r="6" spans="1:20" ht="14.4" customHeight="1" x14ac:dyDescent="0.3">
      <c r="A6" s="3" t="s">
        <v>22</v>
      </c>
      <c r="B6">
        <f>69-30</f>
        <v>39</v>
      </c>
      <c r="C6">
        <f>47-32</f>
        <v>15</v>
      </c>
      <c r="D6">
        <f>33-32</f>
        <v>1</v>
      </c>
      <c r="E6">
        <f>63-37</f>
        <v>26</v>
      </c>
      <c r="F6">
        <f>30-27</f>
        <v>3</v>
      </c>
      <c r="G6" s="25">
        <f>_xlfn.T.TEST(B6:F6,$B$25:$F$25,2,1)</f>
        <v>0.17405411668931967</v>
      </c>
      <c r="H6" t="str">
        <f t="shared" si="0"/>
        <v/>
      </c>
      <c r="I6">
        <f t="shared" si="1"/>
        <v>16.8</v>
      </c>
      <c r="J6">
        <f t="shared" si="2"/>
        <v>7.1442284397967004</v>
      </c>
      <c r="K6" s="25">
        <v>0.22500000000000001</v>
      </c>
      <c r="L6" t="str">
        <f t="shared" si="3"/>
        <v/>
      </c>
      <c r="M6" s="16">
        <v>0.26369999999999999</v>
      </c>
      <c r="N6" s="7" t="str">
        <f t="shared" si="4"/>
        <v/>
      </c>
      <c r="O6" s="16">
        <v>0.28539999999999999</v>
      </c>
      <c r="P6" s="7" t="str">
        <f t="shared" si="5"/>
        <v/>
      </c>
      <c r="Q6" s="16">
        <v>0.5595</v>
      </c>
      <c r="R6" t="str">
        <f t="shared" si="6"/>
        <v/>
      </c>
      <c r="S6" s="16">
        <v>0.45200000000000001</v>
      </c>
      <c r="T6" t="str">
        <f t="shared" si="7"/>
        <v/>
      </c>
    </row>
    <row r="7" spans="1:20" ht="14.4" customHeight="1" x14ac:dyDescent="0.3">
      <c r="A7" s="3" t="s">
        <v>23</v>
      </c>
      <c r="B7">
        <f>44-32</f>
        <v>12</v>
      </c>
      <c r="C7">
        <f>32-30</f>
        <v>2</v>
      </c>
      <c r="D7">
        <f>43-48</f>
        <v>-5</v>
      </c>
      <c r="E7">
        <f>45-33</f>
        <v>12</v>
      </c>
      <c r="F7">
        <f>60-52</f>
        <v>8</v>
      </c>
      <c r="G7" s="25">
        <f>_xlfn.T.TEST(B7:F7,$B$25:$F$25,2,1)</f>
        <v>0.46148636593347597</v>
      </c>
      <c r="H7" t="str">
        <f t="shared" si="0"/>
        <v/>
      </c>
      <c r="I7">
        <f t="shared" si="1"/>
        <v>5.8</v>
      </c>
      <c r="J7">
        <f t="shared" si="2"/>
        <v>3.2619012860600183</v>
      </c>
      <c r="K7" s="25">
        <v>0.5</v>
      </c>
      <c r="L7" t="str">
        <f t="shared" si="3"/>
        <v/>
      </c>
      <c r="M7" s="16">
        <v>7.1499999999999994E-2</v>
      </c>
      <c r="N7" s="7" t="str">
        <f t="shared" si="4"/>
        <v/>
      </c>
      <c r="O7" s="16">
        <v>6.8199999999999997E-2</v>
      </c>
      <c r="P7" s="7" t="str">
        <f t="shared" si="5"/>
        <v/>
      </c>
      <c r="Q7" s="16">
        <v>0.36080000000000001</v>
      </c>
      <c r="R7" t="str">
        <f t="shared" si="6"/>
        <v/>
      </c>
      <c r="S7" s="16">
        <v>0.4672</v>
      </c>
      <c r="T7" t="str">
        <f t="shared" si="7"/>
        <v/>
      </c>
    </row>
    <row r="8" spans="1:20" ht="14.4" customHeight="1" x14ac:dyDescent="0.3">
      <c r="A8" s="3" t="s">
        <v>34</v>
      </c>
      <c r="B8">
        <f>33-28</f>
        <v>5</v>
      </c>
      <c r="C8">
        <f>63-53</f>
        <v>10</v>
      </c>
      <c r="D8">
        <f>37-42</f>
        <v>-5</v>
      </c>
      <c r="E8">
        <f>61-43</f>
        <v>18</v>
      </c>
      <c r="F8">
        <f>37-24</f>
        <v>13</v>
      </c>
      <c r="G8" s="25">
        <f>_xlfn.T.TEST(B8:F8,$B$25:$F$25,2,1)</f>
        <v>0.17543069354690036</v>
      </c>
      <c r="H8" t="str">
        <f t="shared" si="0"/>
        <v/>
      </c>
      <c r="I8">
        <f t="shared" si="1"/>
        <v>8.1999999999999993</v>
      </c>
      <c r="J8">
        <f t="shared" si="2"/>
        <v>3.9166312055132275</v>
      </c>
      <c r="K8" s="25">
        <v>0.223</v>
      </c>
      <c r="L8" t="str">
        <f t="shared" si="3"/>
        <v/>
      </c>
      <c r="M8" s="16">
        <v>0.19409999999999999</v>
      </c>
      <c r="N8" s="7" t="str">
        <f t="shared" si="4"/>
        <v/>
      </c>
      <c r="O8" s="16">
        <v>0.28660000000000002</v>
      </c>
      <c r="P8" s="7" t="str">
        <f t="shared" si="5"/>
        <v/>
      </c>
      <c r="Q8" s="16">
        <v>0.27950000000000003</v>
      </c>
      <c r="R8" t="str">
        <f t="shared" si="6"/>
        <v/>
      </c>
      <c r="S8" s="16">
        <v>0.45960000000000001</v>
      </c>
      <c r="T8" t="str">
        <f t="shared" si="7"/>
        <v/>
      </c>
    </row>
    <row r="9" spans="1:20" ht="14.4" customHeight="1" x14ac:dyDescent="0.3">
      <c r="A9" s="3" t="s">
        <v>46</v>
      </c>
      <c r="B9">
        <f>15-20</f>
        <v>-5</v>
      </c>
      <c r="C9">
        <f>49-36</f>
        <v>13</v>
      </c>
      <c r="D9">
        <f>50-44</f>
        <v>6</v>
      </c>
      <c r="E9">
        <f>32-30</f>
        <v>2</v>
      </c>
      <c r="F9">
        <f>20-29</f>
        <v>-9</v>
      </c>
      <c r="G9" s="25">
        <f>_xlfn.T.TEST(B9:F9,$B$25:$F$25,2,1)</f>
        <v>0.82331084774474583</v>
      </c>
      <c r="H9" t="str">
        <f t="shared" si="0"/>
        <v/>
      </c>
      <c r="I9">
        <f t="shared" si="1"/>
        <v>1.4</v>
      </c>
      <c r="J9">
        <f t="shared" si="2"/>
        <v>3.9064049969249219</v>
      </c>
      <c r="K9" s="25">
        <v>1</v>
      </c>
      <c r="L9" t="str">
        <f t="shared" si="3"/>
        <v/>
      </c>
      <c r="M9" s="16">
        <v>5.7599999999999998E-2</v>
      </c>
      <c r="N9" s="7" t="str">
        <f t="shared" si="4"/>
        <v/>
      </c>
      <c r="O9" s="14">
        <v>4.4200000000000003E-2</v>
      </c>
      <c r="P9" s="7" t="str">
        <f t="shared" si="5"/>
        <v>*</v>
      </c>
      <c r="Q9" s="16">
        <v>0.65359999999999996</v>
      </c>
      <c r="R9" t="str">
        <f t="shared" si="6"/>
        <v/>
      </c>
      <c r="S9" s="16">
        <v>0.90529999999999999</v>
      </c>
      <c r="T9" t="str">
        <f t="shared" si="7"/>
        <v/>
      </c>
    </row>
    <row r="10" spans="1:20" ht="14.4" customHeight="1" x14ac:dyDescent="0.3">
      <c r="A10" s="2" t="s">
        <v>47</v>
      </c>
      <c r="B10">
        <f>26-19</f>
        <v>7</v>
      </c>
      <c r="C10">
        <f>87-46</f>
        <v>41</v>
      </c>
      <c r="D10">
        <f>20-10</f>
        <v>10</v>
      </c>
      <c r="E10">
        <f>61-27</f>
        <v>34</v>
      </c>
      <c r="F10">
        <f>59-46</f>
        <v>13</v>
      </c>
      <c r="G10" s="34">
        <f>_xlfn.T.TEST(B10:F10,$B$26:$F$26,2,1)</f>
        <v>4.1386049404349527E-2</v>
      </c>
      <c r="H10" s="12" t="str">
        <f t="shared" si="0"/>
        <v>*</v>
      </c>
      <c r="I10">
        <f t="shared" si="1"/>
        <v>21</v>
      </c>
      <c r="J10">
        <f t="shared" si="2"/>
        <v>6.8920243760451108</v>
      </c>
      <c r="K10" s="25">
        <v>4.2999999999999997E-2</v>
      </c>
      <c r="L10" t="str">
        <f t="shared" si="3"/>
        <v>*</v>
      </c>
      <c r="M10" s="16">
        <v>0.128</v>
      </c>
      <c r="N10" s="7" t="str">
        <f t="shared" si="4"/>
        <v/>
      </c>
      <c r="O10" s="16">
        <v>0.1061</v>
      </c>
      <c r="P10" s="7" t="str">
        <f t="shared" si="5"/>
        <v/>
      </c>
      <c r="Q10" s="16">
        <v>0.35020000000000001</v>
      </c>
      <c r="R10" t="str">
        <f t="shared" si="6"/>
        <v/>
      </c>
      <c r="S10" s="16">
        <v>0.4078</v>
      </c>
      <c r="T10" t="str">
        <f t="shared" si="7"/>
        <v/>
      </c>
    </row>
    <row r="11" spans="1:20" ht="14.4" customHeight="1" x14ac:dyDescent="0.3">
      <c r="A11" s="3" t="s">
        <v>38</v>
      </c>
      <c r="B11">
        <f>22-18</f>
        <v>4</v>
      </c>
      <c r="C11">
        <f>77-42</f>
        <v>35</v>
      </c>
      <c r="D11">
        <f>41-27</f>
        <v>14</v>
      </c>
      <c r="E11">
        <f>60-24</f>
        <v>36</v>
      </c>
      <c r="F11">
        <f>43-32</f>
        <v>11</v>
      </c>
      <c r="G11" s="34">
        <f t="shared" ref="G11:G16" si="8">_xlfn.T.TEST(B11:F11,$B$25:$F$25,2,1)</f>
        <v>3.8986324349159641E-2</v>
      </c>
      <c r="H11" s="12" t="str">
        <f t="shared" si="0"/>
        <v>*</v>
      </c>
      <c r="I11">
        <f t="shared" si="1"/>
        <v>20</v>
      </c>
      <c r="J11">
        <f t="shared" si="2"/>
        <v>6.5345237010818158</v>
      </c>
      <c r="K11" s="25">
        <v>4.2999999999999997E-2</v>
      </c>
      <c r="L11" t="str">
        <f t="shared" si="3"/>
        <v>*</v>
      </c>
      <c r="M11" s="16">
        <v>0.73199999999999998</v>
      </c>
      <c r="N11" s="7" t="str">
        <f t="shared" si="4"/>
        <v/>
      </c>
      <c r="O11" s="16">
        <v>0.87629999999999997</v>
      </c>
      <c r="P11" s="7" t="str">
        <f t="shared" si="5"/>
        <v/>
      </c>
      <c r="Q11" s="16">
        <v>0.38440000000000002</v>
      </c>
      <c r="R11" t="str">
        <f t="shared" si="6"/>
        <v/>
      </c>
      <c r="S11" s="16">
        <v>0.36620000000000003</v>
      </c>
      <c r="T11" t="str">
        <f t="shared" si="7"/>
        <v/>
      </c>
    </row>
    <row r="12" spans="1:20" ht="14.4" customHeight="1" x14ac:dyDescent="0.3">
      <c r="A12" s="3" t="s">
        <v>19</v>
      </c>
      <c r="B12">
        <f>44-45</f>
        <v>-1</v>
      </c>
      <c r="C12">
        <f>40-45</f>
        <v>-5</v>
      </c>
      <c r="D12">
        <f>32-42</f>
        <v>-10</v>
      </c>
      <c r="E12">
        <f>22-23</f>
        <v>-1</v>
      </c>
      <c r="F12">
        <f>18-24</f>
        <v>-6</v>
      </c>
      <c r="G12" s="25">
        <f t="shared" si="8"/>
        <v>8.5623562241788714E-2</v>
      </c>
      <c r="H12" t="str">
        <f t="shared" si="0"/>
        <v/>
      </c>
      <c r="I12">
        <f t="shared" si="1"/>
        <v>-4.5999999999999996</v>
      </c>
      <c r="J12">
        <f t="shared" si="2"/>
        <v>1.6911534525287764</v>
      </c>
      <c r="K12" s="25">
        <v>0.08</v>
      </c>
      <c r="L12" t="str">
        <f t="shared" si="3"/>
        <v/>
      </c>
      <c r="M12" s="16">
        <v>0.1164</v>
      </c>
      <c r="N12" s="7" t="str">
        <f t="shared" si="4"/>
        <v/>
      </c>
      <c r="O12" s="16">
        <v>6.4399999999999999E-2</v>
      </c>
      <c r="P12" s="7" t="str">
        <f t="shared" si="5"/>
        <v/>
      </c>
      <c r="Q12" s="16">
        <v>0.10290000000000001</v>
      </c>
      <c r="R12" t="str">
        <f t="shared" si="6"/>
        <v/>
      </c>
      <c r="S12" s="16">
        <v>0.1174</v>
      </c>
      <c r="T12" t="str">
        <f t="shared" si="7"/>
        <v/>
      </c>
    </row>
    <row r="13" spans="1:20" ht="14.4" customHeight="1" x14ac:dyDescent="0.3">
      <c r="A13" s="3" t="s">
        <v>20</v>
      </c>
      <c r="B13">
        <f>24-20</f>
        <v>4</v>
      </c>
      <c r="C13">
        <f>40-32</f>
        <v>8</v>
      </c>
      <c r="D13">
        <f>42-38</f>
        <v>4</v>
      </c>
      <c r="E13">
        <f>36-30</f>
        <v>6</v>
      </c>
      <c r="F13">
        <f>54-49</f>
        <v>5</v>
      </c>
      <c r="G13" s="25">
        <f t="shared" si="8"/>
        <v>0.16883810871814448</v>
      </c>
      <c r="H13" t="str">
        <f t="shared" si="0"/>
        <v/>
      </c>
      <c r="I13">
        <f t="shared" si="1"/>
        <v>5.4</v>
      </c>
      <c r="J13">
        <f t="shared" si="2"/>
        <v>0.74833147735478789</v>
      </c>
      <c r="K13" s="25">
        <v>0.13100000000000001</v>
      </c>
      <c r="L13" t="str">
        <f t="shared" si="3"/>
        <v/>
      </c>
      <c r="M13" s="16">
        <v>0.1255</v>
      </c>
      <c r="N13" s="7" t="str">
        <f t="shared" si="4"/>
        <v/>
      </c>
      <c r="O13" s="16">
        <v>0.17549999999999999</v>
      </c>
      <c r="P13" s="7" t="str">
        <f t="shared" si="5"/>
        <v/>
      </c>
      <c r="Q13" s="14">
        <v>3.4599999999999999E-2</v>
      </c>
      <c r="R13" t="str">
        <f t="shared" si="6"/>
        <v>*</v>
      </c>
      <c r="S13" s="16">
        <v>7.0699999999999999E-2</v>
      </c>
      <c r="T13" t="str">
        <f t="shared" si="7"/>
        <v/>
      </c>
    </row>
    <row r="14" spans="1:20" ht="14.4" customHeight="1" x14ac:dyDescent="0.3">
      <c r="A14" s="3" t="s">
        <v>36</v>
      </c>
      <c r="B14">
        <f>45-26</f>
        <v>19</v>
      </c>
      <c r="C14">
        <f>63-42</f>
        <v>21</v>
      </c>
      <c r="D14">
        <f>47-30</f>
        <v>17</v>
      </c>
      <c r="E14">
        <f>77-44</f>
        <v>33</v>
      </c>
      <c r="F14">
        <f>53-7</f>
        <v>46</v>
      </c>
      <c r="G14" s="34">
        <f t="shared" si="8"/>
        <v>4.6413198448556738E-3</v>
      </c>
      <c r="H14" s="12" t="str">
        <f t="shared" si="0"/>
        <v>**</v>
      </c>
      <c r="I14">
        <f t="shared" si="1"/>
        <v>27.2</v>
      </c>
      <c r="J14">
        <f t="shared" si="2"/>
        <v>5.4626001134990663</v>
      </c>
      <c r="K14" s="25">
        <v>4.2999999999999997E-2</v>
      </c>
      <c r="L14" t="str">
        <f t="shared" si="3"/>
        <v>*</v>
      </c>
      <c r="M14" s="16">
        <v>5.6500000000000002E-2</v>
      </c>
      <c r="N14" s="7" t="str">
        <f t="shared" si="4"/>
        <v/>
      </c>
      <c r="O14" s="16">
        <v>7.3200000000000001E-2</v>
      </c>
      <c r="P14" s="7" t="str">
        <f t="shared" si="5"/>
        <v/>
      </c>
      <c r="Q14" s="16">
        <v>0.27979999999999999</v>
      </c>
      <c r="R14" t="str">
        <f t="shared" si="6"/>
        <v/>
      </c>
      <c r="S14" s="16">
        <v>0.34339999999999998</v>
      </c>
      <c r="T14" t="str">
        <f t="shared" si="7"/>
        <v/>
      </c>
    </row>
    <row r="15" spans="1:20" ht="14.4" customHeight="1" x14ac:dyDescent="0.3">
      <c r="A15" s="3" t="s">
        <v>24</v>
      </c>
      <c r="B15">
        <f>39-28</f>
        <v>11</v>
      </c>
      <c r="C15">
        <f>67-57</f>
        <v>10</v>
      </c>
      <c r="D15">
        <f>38-34</f>
        <v>4</v>
      </c>
      <c r="E15">
        <f>42-42</f>
        <v>0</v>
      </c>
      <c r="F15">
        <f>54-53</f>
        <v>1</v>
      </c>
      <c r="G15" s="25">
        <f t="shared" si="8"/>
        <v>0.51546651187821868</v>
      </c>
      <c r="H15" t="str">
        <f t="shared" si="0"/>
        <v/>
      </c>
      <c r="I15">
        <f t="shared" si="1"/>
        <v>5.2</v>
      </c>
      <c r="J15">
        <f t="shared" si="2"/>
        <v>2.2671568097509267</v>
      </c>
      <c r="K15" s="25">
        <v>0.58799999999999997</v>
      </c>
      <c r="L15" t="str">
        <f t="shared" si="3"/>
        <v/>
      </c>
      <c r="M15" s="16">
        <v>5.3499999999999999E-2</v>
      </c>
      <c r="N15" s="7" t="str">
        <f t="shared" si="4"/>
        <v/>
      </c>
      <c r="O15" s="14">
        <v>1.77E-2</v>
      </c>
      <c r="P15" s="7" t="str">
        <f t="shared" si="5"/>
        <v>*</v>
      </c>
      <c r="Q15" s="16">
        <v>0.95099999999999996</v>
      </c>
      <c r="R15" t="str">
        <f t="shared" si="6"/>
        <v/>
      </c>
      <c r="S15" s="16">
        <v>0.78659999999999997</v>
      </c>
      <c r="T15" t="str">
        <f t="shared" si="7"/>
        <v/>
      </c>
    </row>
    <row r="16" spans="1:20" ht="14.4" customHeight="1" x14ac:dyDescent="0.3">
      <c r="A16" s="3" t="s">
        <v>57</v>
      </c>
      <c r="B16">
        <f>17-10</f>
        <v>7</v>
      </c>
      <c r="C16">
        <f>61-31</f>
        <v>30</v>
      </c>
      <c r="D16">
        <f>38-31</f>
        <v>7</v>
      </c>
      <c r="E16">
        <f>61-31</f>
        <v>30</v>
      </c>
      <c r="F16">
        <f>35-27</f>
        <v>8</v>
      </c>
      <c r="G16" s="25">
        <f t="shared" si="8"/>
        <v>5.4696319603603966E-2</v>
      </c>
      <c r="H16" t="str">
        <f t="shared" si="0"/>
        <v/>
      </c>
      <c r="I16">
        <f t="shared" si="1"/>
        <v>16.399999999999999</v>
      </c>
      <c r="J16">
        <f t="shared" si="2"/>
        <v>5.5551777649324601</v>
      </c>
      <c r="K16" s="34">
        <v>4.2000000000000003E-2</v>
      </c>
      <c r="L16" s="12" t="str">
        <f t="shared" si="3"/>
        <v>*</v>
      </c>
      <c r="M16" s="16">
        <v>0.2823</v>
      </c>
      <c r="N16" s="7" t="str">
        <f t="shared" si="4"/>
        <v/>
      </c>
      <c r="O16" s="16">
        <v>8.0799999999999997E-2</v>
      </c>
      <c r="P16" s="7" t="str">
        <f t="shared" si="5"/>
        <v/>
      </c>
      <c r="Q16" s="16">
        <v>0.88629999999999998</v>
      </c>
      <c r="R16" t="str">
        <f t="shared" si="6"/>
        <v/>
      </c>
      <c r="S16" s="16">
        <v>0.49869999999999998</v>
      </c>
      <c r="T16" t="str">
        <f t="shared" si="7"/>
        <v/>
      </c>
    </row>
    <row r="17" spans="1:20" ht="14.4" customHeight="1" x14ac:dyDescent="0.3">
      <c r="A17" s="2" t="s">
        <v>25</v>
      </c>
      <c r="B17">
        <f>18-16</f>
        <v>2</v>
      </c>
      <c r="C17">
        <f>45-41</f>
        <v>4</v>
      </c>
      <c r="D17">
        <f>32-29</f>
        <v>3</v>
      </c>
      <c r="E17">
        <f>28-25</f>
        <v>3</v>
      </c>
      <c r="F17">
        <f>60-56</f>
        <v>4</v>
      </c>
      <c r="G17" s="25">
        <f>_xlfn.T.TEST(B17:F17,$B$26:$F$26,2,1)</f>
        <v>0.71742835991448806</v>
      </c>
      <c r="H17" t="str">
        <f t="shared" si="0"/>
        <v/>
      </c>
      <c r="I17">
        <f t="shared" si="1"/>
        <v>3.2</v>
      </c>
      <c r="J17">
        <f t="shared" si="2"/>
        <v>0.37416573867739394</v>
      </c>
      <c r="K17" s="25">
        <v>0.68</v>
      </c>
      <c r="L17" t="str">
        <f t="shared" si="3"/>
        <v/>
      </c>
      <c r="M17" s="16">
        <v>0.6825</v>
      </c>
      <c r="N17" s="7" t="str">
        <f t="shared" si="4"/>
        <v/>
      </c>
      <c r="O17" s="16">
        <v>0.97189999999999999</v>
      </c>
      <c r="P17" s="7" t="str">
        <f t="shared" si="5"/>
        <v/>
      </c>
      <c r="Q17" s="16">
        <v>0.25059999999999999</v>
      </c>
      <c r="R17" t="str">
        <f t="shared" si="6"/>
        <v/>
      </c>
      <c r="S17" s="16">
        <v>0.33460000000000001</v>
      </c>
      <c r="T17" t="str">
        <f t="shared" si="7"/>
        <v/>
      </c>
    </row>
    <row r="18" spans="1:20" ht="14.4" customHeight="1" x14ac:dyDescent="0.3">
      <c r="A18" s="2" t="s">
        <v>33</v>
      </c>
      <c r="B18">
        <f>13-15</f>
        <v>-2</v>
      </c>
      <c r="C18">
        <f>43-44</f>
        <v>-1</v>
      </c>
      <c r="D18">
        <f>34-26</f>
        <v>8</v>
      </c>
      <c r="E18">
        <f>24-24</f>
        <v>0</v>
      </c>
      <c r="F18">
        <f>57-57</f>
        <v>0</v>
      </c>
      <c r="G18" s="25">
        <f>_xlfn.T.TEST(B18:F18,$B$26:$F$26,2,1)</f>
        <v>0.36415801496469652</v>
      </c>
      <c r="H18" t="str">
        <f t="shared" si="0"/>
        <v/>
      </c>
      <c r="I18">
        <f t="shared" si="1"/>
        <v>1</v>
      </c>
      <c r="J18">
        <f t="shared" si="2"/>
        <v>1.7888543819998317</v>
      </c>
      <c r="K18" s="25">
        <v>0.41599999999999998</v>
      </c>
      <c r="L18" t="str">
        <f t="shared" si="3"/>
        <v/>
      </c>
      <c r="M18" s="16">
        <v>0.44040000000000001</v>
      </c>
      <c r="N18" s="7" t="str">
        <f t="shared" si="4"/>
        <v/>
      </c>
      <c r="O18" s="16">
        <v>0.45240000000000002</v>
      </c>
      <c r="P18" s="7" t="str">
        <f t="shared" si="5"/>
        <v/>
      </c>
      <c r="Q18" s="16">
        <v>0.22620000000000001</v>
      </c>
      <c r="R18" t="str">
        <f t="shared" si="6"/>
        <v/>
      </c>
      <c r="S18" s="16">
        <v>0.90400000000000003</v>
      </c>
      <c r="T18" t="str">
        <f t="shared" si="7"/>
        <v/>
      </c>
    </row>
    <row r="19" spans="1:20" ht="14.4" customHeight="1" x14ac:dyDescent="0.3">
      <c r="A19" s="3" t="s">
        <v>26</v>
      </c>
      <c r="B19">
        <f>39-40</f>
        <v>-1</v>
      </c>
      <c r="C19">
        <f>63-47</f>
        <v>16</v>
      </c>
      <c r="D19">
        <f>42-21</f>
        <v>21</v>
      </c>
      <c r="E19">
        <f>40-36</f>
        <v>4</v>
      </c>
      <c r="F19">
        <f>66-68</f>
        <v>-2</v>
      </c>
      <c r="G19" s="25">
        <f t="shared" ref="G19:G24" si="9">_xlfn.T.TEST(B19:F19,$B$25:$F$25,2,1)</f>
        <v>0.34236021324385479</v>
      </c>
      <c r="H19" t="str">
        <f t="shared" si="0"/>
        <v/>
      </c>
      <c r="I19">
        <f t="shared" si="1"/>
        <v>7.6</v>
      </c>
      <c r="J19">
        <f t="shared" si="2"/>
        <v>4.6324939287601872</v>
      </c>
      <c r="K19" s="25">
        <v>0.27300000000000002</v>
      </c>
      <c r="L19" t="str">
        <f t="shared" si="3"/>
        <v/>
      </c>
      <c r="M19" s="16">
        <v>0.46239999999999998</v>
      </c>
      <c r="N19" s="7" t="str">
        <f t="shared" si="4"/>
        <v/>
      </c>
      <c r="O19" s="16">
        <v>0.63639999999999997</v>
      </c>
      <c r="P19" s="7" t="str">
        <f t="shared" si="5"/>
        <v/>
      </c>
      <c r="Q19" s="16">
        <v>0.13189999999999999</v>
      </c>
      <c r="R19" t="str">
        <f t="shared" si="6"/>
        <v/>
      </c>
      <c r="S19" s="16">
        <v>0.3725</v>
      </c>
      <c r="T19" t="str">
        <f t="shared" si="7"/>
        <v/>
      </c>
    </row>
    <row r="20" spans="1:20" ht="14.4" customHeight="1" x14ac:dyDescent="0.3">
      <c r="A20" s="3" t="s">
        <v>37</v>
      </c>
      <c r="B20">
        <f>38-39</f>
        <v>-1</v>
      </c>
      <c r="C20">
        <f>54-31</f>
        <v>23</v>
      </c>
      <c r="D20">
        <f>33-32</f>
        <v>1</v>
      </c>
      <c r="E20">
        <f>38-34</f>
        <v>4</v>
      </c>
      <c r="F20">
        <f>75-60</f>
        <v>15</v>
      </c>
      <c r="G20" s="25">
        <f t="shared" si="9"/>
        <v>0.17271057958597538</v>
      </c>
      <c r="H20" t="str">
        <f t="shared" si="0"/>
        <v/>
      </c>
      <c r="I20">
        <f t="shared" si="1"/>
        <v>8.4</v>
      </c>
      <c r="J20">
        <f t="shared" si="2"/>
        <v>4.5782092569038388</v>
      </c>
      <c r="K20" s="25">
        <v>0.14399999999999999</v>
      </c>
      <c r="L20" t="str">
        <f t="shared" si="3"/>
        <v/>
      </c>
      <c r="M20" s="16">
        <v>0.54020000000000001</v>
      </c>
      <c r="N20" s="7" t="str">
        <f t="shared" si="4"/>
        <v/>
      </c>
      <c r="O20" s="16">
        <v>0.66290000000000004</v>
      </c>
      <c r="P20" s="7" t="str">
        <f t="shared" si="5"/>
        <v/>
      </c>
      <c r="Q20" s="14">
        <v>3.5000000000000003E-2</v>
      </c>
      <c r="R20" t="str">
        <f t="shared" si="6"/>
        <v>*</v>
      </c>
      <c r="S20" s="14">
        <v>4.4200000000000003E-2</v>
      </c>
      <c r="T20" t="str">
        <f t="shared" si="7"/>
        <v>*</v>
      </c>
    </row>
    <row r="21" spans="1:20" ht="14.4" customHeight="1" x14ac:dyDescent="0.3">
      <c r="A21" s="3" t="s">
        <v>27</v>
      </c>
      <c r="B21">
        <f>44-41</f>
        <v>3</v>
      </c>
      <c r="C21">
        <f>49-29</f>
        <v>20</v>
      </c>
      <c r="D21">
        <f>66-51</f>
        <v>15</v>
      </c>
      <c r="E21">
        <f>38-29</f>
        <v>9</v>
      </c>
      <c r="F21">
        <f>66-65</f>
        <v>1</v>
      </c>
      <c r="G21" s="25">
        <f t="shared" si="9"/>
        <v>0.13202313293782342</v>
      </c>
      <c r="H21" t="str">
        <f t="shared" si="0"/>
        <v/>
      </c>
      <c r="I21">
        <f t="shared" si="1"/>
        <v>9.6</v>
      </c>
      <c r="J21">
        <f t="shared" si="2"/>
        <v>3.5721142198983502</v>
      </c>
      <c r="K21" s="25">
        <v>0.13800000000000001</v>
      </c>
      <c r="L21" t="str">
        <f t="shared" si="3"/>
        <v/>
      </c>
      <c r="M21" s="14">
        <v>3.4500000000000003E-2</v>
      </c>
      <c r="N21" s="7" t="str">
        <f t="shared" si="4"/>
        <v>*</v>
      </c>
      <c r="O21" s="16">
        <v>5.1900000000000002E-2</v>
      </c>
      <c r="P21" s="7" t="str">
        <f t="shared" si="5"/>
        <v/>
      </c>
      <c r="Q21" s="14">
        <v>4.1099999999999998E-2</v>
      </c>
      <c r="R21" t="str">
        <f t="shared" si="6"/>
        <v>*</v>
      </c>
      <c r="S21" s="16">
        <v>9.7199999999999995E-2</v>
      </c>
      <c r="T21" t="str">
        <f t="shared" si="7"/>
        <v/>
      </c>
    </row>
    <row r="22" spans="1:20" ht="14.4" customHeight="1" x14ac:dyDescent="0.3">
      <c r="A22" s="3" t="s">
        <v>28</v>
      </c>
      <c r="B22">
        <f>26-28</f>
        <v>-2</v>
      </c>
      <c r="C22">
        <f>45-44</f>
        <v>1</v>
      </c>
      <c r="D22">
        <f>46-39</f>
        <v>7</v>
      </c>
      <c r="E22">
        <f>36-29</f>
        <v>7</v>
      </c>
      <c r="F22">
        <f>81-72</f>
        <v>9</v>
      </c>
      <c r="G22" s="25">
        <f t="shared" si="9"/>
        <v>0.21029538311834697</v>
      </c>
      <c r="H22" t="str">
        <f t="shared" si="0"/>
        <v/>
      </c>
      <c r="I22">
        <f t="shared" si="1"/>
        <v>4.4000000000000004</v>
      </c>
      <c r="J22">
        <f t="shared" si="2"/>
        <v>2.0880613017821101</v>
      </c>
      <c r="K22" s="25">
        <v>0.216</v>
      </c>
      <c r="L22" t="str">
        <f t="shared" si="3"/>
        <v/>
      </c>
      <c r="M22" s="16">
        <v>0.56630000000000003</v>
      </c>
      <c r="N22" s="7" t="str">
        <f t="shared" si="4"/>
        <v/>
      </c>
      <c r="O22" s="16">
        <v>0.75760000000000005</v>
      </c>
      <c r="P22" s="7" t="str">
        <f t="shared" si="5"/>
        <v/>
      </c>
      <c r="Q22" s="16">
        <v>0.42630000000000001</v>
      </c>
      <c r="R22" t="str">
        <f t="shared" si="6"/>
        <v/>
      </c>
      <c r="S22" s="16">
        <v>0.39650000000000002</v>
      </c>
      <c r="T22" t="str">
        <f t="shared" si="7"/>
        <v/>
      </c>
    </row>
    <row r="23" spans="1:20" ht="14.4" customHeight="1" x14ac:dyDescent="0.3">
      <c r="A23" s="3" t="s">
        <v>29</v>
      </c>
      <c r="B23">
        <f>38-36</f>
        <v>2</v>
      </c>
      <c r="C23">
        <f>38-30</f>
        <v>8</v>
      </c>
      <c r="D23">
        <f>44-41</f>
        <v>3</v>
      </c>
      <c r="E23">
        <f>27-29</f>
        <v>-2</v>
      </c>
      <c r="F23">
        <f>78-67</f>
        <v>11</v>
      </c>
      <c r="G23" s="25">
        <f t="shared" si="9"/>
        <v>0.41734905117810495</v>
      </c>
      <c r="H23" t="str">
        <f t="shared" si="0"/>
        <v/>
      </c>
      <c r="I23">
        <f t="shared" si="1"/>
        <v>4.4000000000000004</v>
      </c>
      <c r="J23">
        <f t="shared" si="2"/>
        <v>2.2934689882359427</v>
      </c>
      <c r="K23" s="25">
        <v>0.34300000000000003</v>
      </c>
      <c r="L23" t="str">
        <f t="shared" si="3"/>
        <v/>
      </c>
      <c r="M23" s="16">
        <v>0.34310000000000002</v>
      </c>
      <c r="N23" s="7" t="str">
        <f t="shared" si="4"/>
        <v/>
      </c>
      <c r="O23" s="16">
        <v>0.35709999999999997</v>
      </c>
      <c r="P23" s="7" t="str">
        <f t="shared" si="5"/>
        <v/>
      </c>
      <c r="Q23" s="16">
        <v>0.19020000000000001</v>
      </c>
      <c r="R23" t="str">
        <f t="shared" si="6"/>
        <v/>
      </c>
      <c r="S23" s="16">
        <v>0.20200000000000001</v>
      </c>
      <c r="T23" t="str">
        <f t="shared" si="7"/>
        <v/>
      </c>
    </row>
    <row r="24" spans="1:20" ht="14.4" customHeight="1" x14ac:dyDescent="0.3">
      <c r="A24" s="3" t="s">
        <v>48</v>
      </c>
      <c r="B24">
        <f>24-28</f>
        <v>-4</v>
      </c>
      <c r="C24">
        <f>55-35</f>
        <v>20</v>
      </c>
      <c r="D24">
        <f>50-50</f>
        <v>0</v>
      </c>
      <c r="E24">
        <f>35-29</f>
        <v>6</v>
      </c>
      <c r="F24">
        <f>69-68</f>
        <v>1</v>
      </c>
      <c r="G24" s="25">
        <f t="shared" si="9"/>
        <v>0.58607849334793927</v>
      </c>
      <c r="H24" t="str">
        <f t="shared" si="0"/>
        <v/>
      </c>
      <c r="I24">
        <f t="shared" si="1"/>
        <v>4.5999999999999996</v>
      </c>
      <c r="J24">
        <f t="shared" si="2"/>
        <v>4.1665333311999309</v>
      </c>
      <c r="K24" s="25">
        <v>786</v>
      </c>
      <c r="L24" t="str">
        <f t="shared" si="3"/>
        <v/>
      </c>
      <c r="M24" s="16">
        <v>0.35449999999999998</v>
      </c>
      <c r="N24" s="7" t="str">
        <f t="shared" si="4"/>
        <v/>
      </c>
      <c r="O24" s="16">
        <v>0.55630000000000002</v>
      </c>
      <c r="P24" s="7" t="str">
        <f t="shared" si="5"/>
        <v/>
      </c>
      <c r="Q24" s="14">
        <v>4.1000000000000002E-2</v>
      </c>
      <c r="R24" t="str">
        <f t="shared" si="6"/>
        <v>*</v>
      </c>
      <c r="S24" s="14">
        <v>4.4200000000000003E-2</v>
      </c>
      <c r="T24" t="str">
        <f t="shared" si="7"/>
        <v>*</v>
      </c>
    </row>
    <row r="25" spans="1:20" ht="14.4" customHeight="1" x14ac:dyDescent="0.3">
      <c r="A25" s="3" t="s">
        <v>31</v>
      </c>
      <c r="B25">
        <f>20-25</f>
        <v>-5</v>
      </c>
      <c r="C25">
        <f>27-23</f>
        <v>4</v>
      </c>
      <c r="D25">
        <f>26-24</f>
        <v>2</v>
      </c>
      <c r="E25">
        <f>32-28</f>
        <v>4</v>
      </c>
      <c r="F25">
        <f>30-23</f>
        <v>7</v>
      </c>
      <c r="G25" t="s">
        <v>6</v>
      </c>
      <c r="I25">
        <f t="shared" si="1"/>
        <v>2.4</v>
      </c>
      <c r="J25">
        <f t="shared" si="2"/>
        <v>2.0149441679609881</v>
      </c>
      <c r="M25" s="16">
        <v>0.60980000000000001</v>
      </c>
      <c r="N25" s="7" t="str">
        <f t="shared" si="4"/>
        <v/>
      </c>
      <c r="O25" s="16">
        <v>0.55430000000000001</v>
      </c>
      <c r="P25" s="7" t="str">
        <f t="shared" si="5"/>
        <v/>
      </c>
      <c r="Q25" s="16">
        <v>0.30320000000000003</v>
      </c>
      <c r="R25" t="str">
        <f t="shared" si="6"/>
        <v/>
      </c>
      <c r="S25" s="16">
        <v>0.18809999999999999</v>
      </c>
      <c r="T25" t="str">
        <f t="shared" si="7"/>
        <v/>
      </c>
    </row>
    <row r="26" spans="1:20" ht="13.8" customHeight="1" x14ac:dyDescent="0.3">
      <c r="A26" s="2" t="s">
        <v>30</v>
      </c>
      <c r="B26">
        <f>10-10</f>
        <v>0</v>
      </c>
      <c r="C26">
        <f>34-28</f>
        <v>6</v>
      </c>
      <c r="D26">
        <f>35-34</f>
        <v>1</v>
      </c>
      <c r="E26">
        <f>31-25</f>
        <v>6</v>
      </c>
      <c r="F26">
        <f>21-16</f>
        <v>5</v>
      </c>
      <c r="G26" t="s">
        <v>40</v>
      </c>
      <c r="I26">
        <f t="shared" si="1"/>
        <v>3.6</v>
      </c>
      <c r="J26">
        <f t="shared" si="2"/>
        <v>1.2884098726725124</v>
      </c>
      <c r="M26" s="14">
        <v>2.0799999999999999E-2</v>
      </c>
      <c r="N26" s="7" t="str">
        <f t="shared" si="4"/>
        <v>*</v>
      </c>
      <c r="O26" s="14">
        <v>2.6499999999999999E-2</v>
      </c>
      <c r="P26" s="7" t="str">
        <f t="shared" si="5"/>
        <v>*</v>
      </c>
      <c r="Q26" s="16">
        <v>9.01E-2</v>
      </c>
      <c r="R26" t="str">
        <f t="shared" si="6"/>
        <v/>
      </c>
      <c r="S26" s="16">
        <v>7.6999999999999999E-2</v>
      </c>
      <c r="T26" t="str">
        <f t="shared" si="7"/>
        <v/>
      </c>
    </row>
    <row r="27" spans="1:20" x14ac:dyDescent="0.3">
      <c r="F27" t="s">
        <v>56</v>
      </c>
      <c r="G27" s="25">
        <f>_xlfn.T.TEST(B25:F25,B26:F26,2,1)</f>
        <v>0.38830897227566386</v>
      </c>
      <c r="J27" t="s">
        <v>56</v>
      </c>
      <c r="K27">
        <v>0.4098</v>
      </c>
    </row>
  </sheetData>
  <pageMargins left="0.7" right="0.7" top="0.75" bottom="0.75" header="0.3" footer="0.3"/>
  <pageSetup paperSize="9" orientation="portrait" r:id="rId1"/>
  <ignoredErrors>
    <ignoredError sqref="G10 D16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7"/>
  <sheetViews>
    <sheetView tabSelected="1" topLeftCell="A4" workbookViewId="0">
      <selection activeCell="A16" sqref="A16"/>
    </sheetView>
  </sheetViews>
  <sheetFormatPr defaultRowHeight="14.4" x14ac:dyDescent="0.3"/>
  <cols>
    <col min="1" max="1" width="28.77734375" customWidth="1"/>
    <col min="2" max="6" width="10.77734375" customWidth="1"/>
    <col min="7" max="7" width="11.77734375" customWidth="1"/>
    <col min="8" max="8" width="12.77734375" customWidth="1"/>
    <col min="9" max="10" width="10.77734375" customWidth="1"/>
    <col min="11" max="11" width="12.21875" customWidth="1"/>
    <col min="13" max="13" width="11" customWidth="1"/>
    <col min="14" max="14" width="26.21875" customWidth="1"/>
    <col min="15" max="15" width="11" customWidth="1"/>
    <col min="16" max="16" width="29" customWidth="1"/>
    <col min="17" max="17" width="10.6640625" customWidth="1"/>
    <col min="18" max="18" width="28.21875" customWidth="1"/>
    <col min="19" max="19" width="10.6640625" customWidth="1"/>
    <col min="20" max="20" width="29.5546875" customWidth="1"/>
    <col min="21" max="21" width="11" customWidth="1"/>
  </cols>
  <sheetData>
    <row r="1" spans="1:21" ht="14.4" customHeight="1" x14ac:dyDescent="0.3">
      <c r="A1" s="7" t="s">
        <v>32</v>
      </c>
      <c r="B1" s="7" t="s">
        <v>0</v>
      </c>
      <c r="C1" s="7" t="s">
        <v>35</v>
      </c>
      <c r="D1" s="7" t="s">
        <v>2</v>
      </c>
      <c r="E1" s="7" t="s">
        <v>4</v>
      </c>
      <c r="F1" s="7" t="s">
        <v>5</v>
      </c>
      <c r="G1" s="7" t="s">
        <v>7</v>
      </c>
      <c r="H1" s="7" t="s">
        <v>42</v>
      </c>
      <c r="I1" s="7" t="s">
        <v>15</v>
      </c>
      <c r="J1" s="7" t="s">
        <v>12</v>
      </c>
      <c r="K1" s="7" t="s">
        <v>13</v>
      </c>
      <c r="L1" s="7" t="s">
        <v>41</v>
      </c>
      <c r="M1" s="7" t="s">
        <v>15</v>
      </c>
      <c r="N1" s="7" t="s">
        <v>43</v>
      </c>
      <c r="O1" s="7" t="s">
        <v>15</v>
      </c>
      <c r="P1" s="7" t="s">
        <v>44</v>
      </c>
      <c r="Q1" s="7" t="s">
        <v>15</v>
      </c>
      <c r="R1" s="7" t="s">
        <v>52</v>
      </c>
      <c r="S1" s="7" t="s">
        <v>15</v>
      </c>
      <c r="T1" s="7" t="s">
        <v>53</v>
      </c>
      <c r="U1" s="7" t="s">
        <v>15</v>
      </c>
    </row>
    <row r="2" spans="1:21" ht="14.4" customHeight="1" x14ac:dyDescent="0.3">
      <c r="A2" s="3" t="s">
        <v>16</v>
      </c>
      <c r="B2">
        <f>22-24</f>
        <v>-2</v>
      </c>
      <c r="C2">
        <f>16-10</f>
        <v>6</v>
      </c>
      <c r="D2">
        <f>17-11</f>
        <v>6</v>
      </c>
      <c r="E2">
        <f>22-15</f>
        <v>7</v>
      </c>
      <c r="F2">
        <f>36-34</f>
        <v>2</v>
      </c>
      <c r="G2">
        <f>13-11</f>
        <v>2</v>
      </c>
      <c r="H2" s="25">
        <f>_xlfn.T.TEST(B2:G2,$B$25:$G$25,2,1)</f>
        <v>0.71441874394438409</v>
      </c>
      <c r="I2" t="str">
        <f>IF(H2&lt;=0.05,IF(H2&lt;0.01,IF(G2&lt;0.001,"***","**"),"*"),"")</f>
        <v/>
      </c>
      <c r="J2">
        <f>AVERAGE(B2:G2)</f>
        <v>3.5</v>
      </c>
      <c r="K2">
        <f t="shared" ref="K2:K26" si="0">STDEV(B2:G2)/SQRT(6)</f>
        <v>1.4083086782851739</v>
      </c>
      <c r="L2" s="25">
        <f>0.786</f>
        <v>0.78600000000000003</v>
      </c>
      <c r="M2" t="str">
        <f>IF(L2&lt;=0.05,IF(L2&lt;0.01,IF(L2&lt;0.001,"***","**"),"*"),"")</f>
        <v/>
      </c>
      <c r="N2" s="14">
        <v>4.5900000000000003E-2</v>
      </c>
      <c r="O2" s="7" t="str">
        <f>IF(N2&lt;=0.05,IF(N2&lt;0.01,IF(N2&lt;0.001,"***","**"),"*"),"")</f>
        <v>*</v>
      </c>
      <c r="P2" s="14">
        <v>1.1999999999999999E-3</v>
      </c>
      <c r="Q2" s="7" t="str">
        <f>IF(P2&lt;=0.05,IF(P2&lt;0.01,IF(P2&lt;0.001,"***","**"),"*"),"")</f>
        <v>**</v>
      </c>
      <c r="R2" s="22">
        <v>0.05</v>
      </c>
      <c r="S2" s="7" t="str">
        <f>IF(R2&lt;=0.05,IF(R2&lt;0.01,IF(R2&lt;0.001,"***","**"),"*"),"")</f>
        <v>*</v>
      </c>
      <c r="T2" s="16">
        <v>6.1199999999999997E-2</v>
      </c>
      <c r="U2" t="str">
        <f>IF(T2&lt;=0.05,IF(T2&lt;0.01,IF(T2&lt;0.001,"***","**"),"*"),"")</f>
        <v/>
      </c>
    </row>
    <row r="3" spans="1:21" ht="14.4" customHeight="1" x14ac:dyDescent="0.3">
      <c r="A3" s="6" t="s">
        <v>17</v>
      </c>
      <c r="B3">
        <f>63-44</f>
        <v>19</v>
      </c>
      <c r="C3">
        <f>21-13</f>
        <v>8</v>
      </c>
      <c r="D3">
        <f>9-16</f>
        <v>-7</v>
      </c>
      <c r="E3">
        <f>17-15</f>
        <v>2</v>
      </c>
      <c r="F3">
        <f>15-13</f>
        <v>2</v>
      </c>
      <c r="G3">
        <f>26-16</f>
        <v>10</v>
      </c>
      <c r="H3" s="25">
        <f>_xlfn.T.TEST(B3:G3,$B$26:$G$26,2,1)</f>
        <v>0.89030323724917049</v>
      </c>
      <c r="I3" t="str">
        <f t="shared" ref="I3:I24" si="1">IF(H3&lt;=0.05,IF(H3&lt;0.01,IF(G3&lt;0.001,"***","**"),"*"),"")</f>
        <v/>
      </c>
      <c r="J3">
        <f t="shared" ref="J3:J26" si="2">AVERAGE(B3:G3)</f>
        <v>5.666666666666667</v>
      </c>
      <c r="K3">
        <f t="shared" si="0"/>
        <v>3.6024682896283462</v>
      </c>
      <c r="L3" s="25">
        <v>0.46200000000000002</v>
      </c>
      <c r="M3" t="str">
        <f t="shared" ref="M3:M24" si="3">IF(L3&lt;=0.05,IF(L3&lt;0.01,IF(L3&lt;0.001,"***","**"),"*"),"")</f>
        <v/>
      </c>
      <c r="N3" s="13">
        <v>0.30620000000000003</v>
      </c>
      <c r="O3" s="7" t="str">
        <f t="shared" ref="O3:O26" si="4">IF(N3&lt;=0.05,IF(N3&lt;0.01,IF(N3&lt;0.001,"***","**"),"*"),"")</f>
        <v/>
      </c>
      <c r="P3" s="13">
        <v>0.34849999999999998</v>
      </c>
      <c r="Q3" s="7" t="str">
        <f t="shared" ref="Q3:Q26" si="5">IF(P3&lt;=0.05,IF(P3&lt;0.01,IF(P3&lt;0.001,"***","**"),"*"),"")</f>
        <v/>
      </c>
      <c r="R3" s="16">
        <v>6.8699999999999997E-2</v>
      </c>
      <c r="S3" t="str">
        <f t="shared" ref="S3:S26" si="6">IF(R3&lt;=0.05,IF(R3&lt;0.01,IF(R3&lt;0.001,"***","**"),"*"),"")</f>
        <v/>
      </c>
      <c r="T3" s="16">
        <v>6.9900000000000004E-2</v>
      </c>
      <c r="U3" t="str">
        <f t="shared" ref="U3:U26" si="7">IF(T3&lt;=0.05,IF(T3&lt;0.01,IF(T3&lt;0.001,"***","**"),"*"),"")</f>
        <v/>
      </c>
    </row>
    <row r="4" spans="1:21" ht="14.4" customHeight="1" x14ac:dyDescent="0.3">
      <c r="A4" s="2" t="s">
        <v>18</v>
      </c>
      <c r="B4">
        <f>34-31</f>
        <v>3</v>
      </c>
      <c r="C4">
        <f>29-7</f>
        <v>22</v>
      </c>
      <c r="D4">
        <f>5-11</f>
        <v>-6</v>
      </c>
      <c r="E4">
        <f>20-17</f>
        <v>3</v>
      </c>
      <c r="F4">
        <f>12-7</f>
        <v>5</v>
      </c>
      <c r="G4">
        <f>31-14</f>
        <v>17</v>
      </c>
      <c r="H4" s="25">
        <f>_xlfn.T.TEST(B4:G4,$B$26:$G$26,2,1)</f>
        <v>0.46011767373660034</v>
      </c>
      <c r="I4" t="str">
        <f t="shared" si="1"/>
        <v/>
      </c>
      <c r="J4">
        <f t="shared" si="2"/>
        <v>7.333333333333333</v>
      </c>
      <c r="K4">
        <f t="shared" si="0"/>
        <v>4.2005290672062303</v>
      </c>
      <c r="L4" s="25">
        <v>0.34399999999999997</v>
      </c>
      <c r="M4" t="str">
        <f t="shared" si="3"/>
        <v/>
      </c>
      <c r="N4" s="13">
        <v>0.216</v>
      </c>
      <c r="O4" s="7" t="str">
        <f t="shared" si="4"/>
        <v/>
      </c>
      <c r="P4" s="13">
        <v>0.38229999999999997</v>
      </c>
      <c r="Q4" s="7" t="str">
        <f t="shared" si="5"/>
        <v/>
      </c>
      <c r="R4" s="16">
        <v>0.43140000000000001</v>
      </c>
      <c r="S4" t="str">
        <f t="shared" si="6"/>
        <v/>
      </c>
      <c r="T4" s="16">
        <v>0.65210000000000001</v>
      </c>
      <c r="U4" t="str">
        <f t="shared" si="7"/>
        <v/>
      </c>
    </row>
    <row r="5" spans="1:21" ht="14.4" customHeight="1" x14ac:dyDescent="0.3">
      <c r="A5" s="3" t="s">
        <v>21</v>
      </c>
      <c r="B5">
        <f>36-41</f>
        <v>-5</v>
      </c>
      <c r="C5">
        <f>23-28</f>
        <v>-5</v>
      </c>
      <c r="D5">
        <f>13-19</f>
        <v>-6</v>
      </c>
      <c r="E5">
        <f>14-14</f>
        <v>0</v>
      </c>
      <c r="F5">
        <f>22-35</f>
        <v>-13</v>
      </c>
      <c r="G5">
        <f>15-4</f>
        <v>11</v>
      </c>
      <c r="H5" s="25">
        <f>_xlfn.T.TEST(B5:G5,$B$25:$G$25,2,1)</f>
        <v>0.16248526224174531</v>
      </c>
      <c r="I5" t="str">
        <f t="shared" si="1"/>
        <v/>
      </c>
      <c r="J5">
        <f t="shared" si="2"/>
        <v>-3</v>
      </c>
      <c r="K5">
        <f t="shared" si="0"/>
        <v>3.2761766334148312</v>
      </c>
      <c r="L5" s="25">
        <v>0.14099999999999999</v>
      </c>
      <c r="M5" t="str">
        <f t="shared" si="3"/>
        <v/>
      </c>
      <c r="N5" s="13">
        <v>0.24379999999999999</v>
      </c>
      <c r="O5" s="7" t="str">
        <f t="shared" si="4"/>
        <v/>
      </c>
      <c r="P5" s="13">
        <v>0.1288</v>
      </c>
      <c r="Q5" s="7" t="str">
        <f t="shared" si="5"/>
        <v/>
      </c>
      <c r="R5" s="16">
        <v>0.38009999999999999</v>
      </c>
      <c r="S5" t="str">
        <f t="shared" si="6"/>
        <v/>
      </c>
      <c r="T5" s="16">
        <v>0.42659999999999998</v>
      </c>
      <c r="U5" t="str">
        <f t="shared" si="7"/>
        <v/>
      </c>
    </row>
    <row r="6" spans="1:21" ht="14.4" customHeight="1" x14ac:dyDescent="0.3">
      <c r="A6" s="3" t="s">
        <v>22</v>
      </c>
      <c r="B6">
        <f>68-19</f>
        <v>49</v>
      </c>
      <c r="C6">
        <f>16-18</f>
        <v>-2</v>
      </c>
      <c r="D6">
        <f>24-6</f>
        <v>18</v>
      </c>
      <c r="E6">
        <f>10-22</f>
        <v>-12</v>
      </c>
      <c r="F6">
        <f>36-20</f>
        <v>16</v>
      </c>
      <c r="G6">
        <f>24-14</f>
        <v>10</v>
      </c>
      <c r="H6" s="25">
        <f>_xlfn.T.TEST(B6:G6,$B$25:$G$25,2,1)</f>
        <v>0.27756051996351722</v>
      </c>
      <c r="I6" t="str">
        <f t="shared" si="1"/>
        <v/>
      </c>
      <c r="J6">
        <f t="shared" si="2"/>
        <v>13.166666666666666</v>
      </c>
      <c r="K6">
        <f t="shared" si="0"/>
        <v>8.5417276420587847</v>
      </c>
      <c r="L6" s="25">
        <v>0.248</v>
      </c>
      <c r="M6" t="str">
        <f t="shared" si="3"/>
        <v/>
      </c>
      <c r="N6" s="13">
        <v>0.1764</v>
      </c>
      <c r="O6" s="7" t="str">
        <f t="shared" si="4"/>
        <v/>
      </c>
      <c r="P6" s="13">
        <v>0.13750000000000001</v>
      </c>
      <c r="Q6" s="7" t="str">
        <f t="shared" si="5"/>
        <v/>
      </c>
      <c r="R6" s="16">
        <v>0.37769999999999998</v>
      </c>
      <c r="S6" t="str">
        <f t="shared" si="6"/>
        <v/>
      </c>
      <c r="T6" s="16">
        <v>0.1241</v>
      </c>
      <c r="U6" t="str">
        <f t="shared" si="7"/>
        <v/>
      </c>
    </row>
    <row r="7" spans="1:21" ht="14.4" customHeight="1" x14ac:dyDescent="0.3">
      <c r="A7" s="3" t="s">
        <v>23</v>
      </c>
      <c r="B7">
        <f>38-22</f>
        <v>16</v>
      </c>
      <c r="C7">
        <f>32-32</f>
        <v>0</v>
      </c>
      <c r="D7">
        <f>12-10</f>
        <v>2</v>
      </c>
      <c r="E7">
        <f>21-21</f>
        <v>0</v>
      </c>
      <c r="F7">
        <f>23-24</f>
        <v>-1</v>
      </c>
      <c r="G7">
        <f>7-14</f>
        <v>-7</v>
      </c>
      <c r="H7" s="25">
        <f>_xlfn.T.TEST(B7:G7,$B$25:$G$25,2,1)</f>
        <v>0.81623140123405502</v>
      </c>
      <c r="I7" t="str">
        <f t="shared" si="1"/>
        <v/>
      </c>
      <c r="J7">
        <f t="shared" si="2"/>
        <v>1.6666666666666667</v>
      </c>
      <c r="K7">
        <f t="shared" si="0"/>
        <v>3.1269438398822866</v>
      </c>
      <c r="L7" s="25">
        <v>0.6</v>
      </c>
      <c r="M7" t="str">
        <f t="shared" si="3"/>
        <v/>
      </c>
      <c r="N7" s="14">
        <v>1.2699999999999999E-2</v>
      </c>
      <c r="O7" s="7" t="str">
        <f t="shared" si="4"/>
        <v>*</v>
      </c>
      <c r="P7" s="14">
        <v>7.6E-3</v>
      </c>
      <c r="Q7" s="7" t="str">
        <f t="shared" si="5"/>
        <v>**</v>
      </c>
      <c r="R7" s="16">
        <v>7.8799999999999995E-2</v>
      </c>
      <c r="S7" t="str">
        <f t="shared" si="6"/>
        <v/>
      </c>
      <c r="T7" s="14">
        <v>3.7900000000000003E-2</v>
      </c>
      <c r="U7" s="7" t="str">
        <f t="shared" si="7"/>
        <v>*</v>
      </c>
    </row>
    <row r="8" spans="1:21" ht="14.4" customHeight="1" x14ac:dyDescent="0.3">
      <c r="A8" s="3" t="s">
        <v>34</v>
      </c>
      <c r="B8">
        <f>53-21</f>
        <v>32</v>
      </c>
      <c r="C8">
        <f>43-34</f>
        <v>9</v>
      </c>
      <c r="D8">
        <f>24-12</f>
        <v>12</v>
      </c>
      <c r="E8">
        <f>22-13</f>
        <v>9</v>
      </c>
      <c r="F8">
        <f>32-29</f>
        <v>3</v>
      </c>
      <c r="G8">
        <f>36-18</f>
        <v>18</v>
      </c>
      <c r="H8" s="25">
        <f>_xlfn.T.TEST(B8:G8,$B$25:$G$25,2,1)</f>
        <v>5.8443712925967492E-2</v>
      </c>
      <c r="I8" t="str">
        <f t="shared" si="1"/>
        <v/>
      </c>
      <c r="J8">
        <f t="shared" si="2"/>
        <v>13.833333333333334</v>
      </c>
      <c r="K8">
        <f t="shared" si="0"/>
        <v>4.1425971456456043</v>
      </c>
      <c r="L8" s="25">
        <v>2.8000000000000001E-2</v>
      </c>
      <c r="M8" t="str">
        <f t="shared" si="3"/>
        <v>*</v>
      </c>
      <c r="N8" s="13">
        <v>0.69350000000000001</v>
      </c>
      <c r="O8" s="7" t="str">
        <f t="shared" si="4"/>
        <v/>
      </c>
      <c r="P8" s="13">
        <v>0.65029999999999999</v>
      </c>
      <c r="Q8" s="7" t="str">
        <f t="shared" si="5"/>
        <v/>
      </c>
      <c r="R8" s="16">
        <v>0.98140000000000005</v>
      </c>
      <c r="S8" t="str">
        <f t="shared" si="6"/>
        <v/>
      </c>
      <c r="T8" s="16">
        <v>0.86309999999999998</v>
      </c>
      <c r="U8" t="str">
        <f t="shared" si="7"/>
        <v/>
      </c>
    </row>
    <row r="9" spans="1:21" ht="14.4" customHeight="1" x14ac:dyDescent="0.3">
      <c r="A9" s="3" t="s">
        <v>46</v>
      </c>
      <c r="B9">
        <f>26-10</f>
        <v>16</v>
      </c>
      <c r="C9">
        <f>16-9</f>
        <v>7</v>
      </c>
      <c r="D9">
        <f>18-11</f>
        <v>7</v>
      </c>
      <c r="E9">
        <f>19-9</f>
        <v>10</v>
      </c>
      <c r="F9">
        <f>12-18</f>
        <v>-6</v>
      </c>
      <c r="G9">
        <f>12-19</f>
        <v>-7</v>
      </c>
      <c r="H9" s="25">
        <f>_xlfn.T.TEST(B9:G9,$B$25:$G$25,2,1)</f>
        <v>0.7100929236313902</v>
      </c>
      <c r="I9" t="str">
        <f t="shared" si="1"/>
        <v/>
      </c>
      <c r="J9">
        <f t="shared" si="2"/>
        <v>4.5</v>
      </c>
      <c r="K9">
        <f t="shared" si="0"/>
        <v>3.7305048809332324</v>
      </c>
      <c r="L9" s="25">
        <v>0.5</v>
      </c>
      <c r="M9" t="str">
        <f t="shared" si="3"/>
        <v/>
      </c>
      <c r="N9" s="13">
        <v>0.1099</v>
      </c>
      <c r="O9" s="7" t="str">
        <f t="shared" si="4"/>
        <v/>
      </c>
      <c r="P9" s="13">
        <v>0.1661</v>
      </c>
      <c r="Q9" s="7" t="str">
        <f t="shared" si="5"/>
        <v/>
      </c>
      <c r="R9" s="16">
        <v>0.73099999999999998</v>
      </c>
      <c r="S9" t="str">
        <f t="shared" si="6"/>
        <v/>
      </c>
      <c r="T9" s="16">
        <v>0.7238</v>
      </c>
      <c r="U9" t="str">
        <f t="shared" si="7"/>
        <v/>
      </c>
    </row>
    <row r="10" spans="1:21" ht="14.4" customHeight="1" x14ac:dyDescent="0.3">
      <c r="A10" s="2" t="s">
        <v>47</v>
      </c>
      <c r="B10">
        <f>63-20</f>
        <v>43</v>
      </c>
      <c r="C10">
        <f>49-23</f>
        <v>26</v>
      </c>
      <c r="D10">
        <f>32-8</f>
        <v>24</v>
      </c>
      <c r="E10">
        <f>26-19</f>
        <v>7</v>
      </c>
      <c r="F10">
        <f>79-32</f>
        <v>47</v>
      </c>
      <c r="G10">
        <f>22-11</f>
        <v>11</v>
      </c>
      <c r="H10" s="34">
        <f>_xlfn.T.TEST(B10:G10,$B$26:$G$26,2,1)</f>
        <v>4.5021287588722016E-2</v>
      </c>
      <c r="I10" s="12" t="str">
        <f t="shared" si="1"/>
        <v>*</v>
      </c>
      <c r="J10">
        <f t="shared" si="2"/>
        <v>26.333333333333332</v>
      </c>
      <c r="K10">
        <f t="shared" si="0"/>
        <v>6.6315743061340857</v>
      </c>
      <c r="L10" s="25">
        <v>4.5999999999999999E-2</v>
      </c>
      <c r="M10" t="str">
        <f t="shared" si="3"/>
        <v>*</v>
      </c>
      <c r="N10" s="13">
        <v>0.23599999999999999</v>
      </c>
      <c r="O10" s="7" t="str">
        <f t="shared" si="4"/>
        <v/>
      </c>
      <c r="P10" s="13">
        <v>0.2949</v>
      </c>
      <c r="Q10" s="7" t="str">
        <f t="shared" si="5"/>
        <v/>
      </c>
      <c r="R10" s="16">
        <v>0.72050000000000003</v>
      </c>
      <c r="S10" t="str">
        <f t="shared" si="6"/>
        <v/>
      </c>
      <c r="T10" s="16">
        <v>0.75580000000000003</v>
      </c>
      <c r="U10" t="str">
        <f t="shared" si="7"/>
        <v/>
      </c>
    </row>
    <row r="11" spans="1:21" ht="14.4" customHeight="1" x14ac:dyDescent="0.3">
      <c r="A11" s="3" t="s">
        <v>38</v>
      </c>
      <c r="B11">
        <f>62-18</f>
        <v>44</v>
      </c>
      <c r="C11">
        <f>48-24</f>
        <v>24</v>
      </c>
      <c r="D11">
        <f>29-6</f>
        <v>23</v>
      </c>
      <c r="E11">
        <f>32-18</f>
        <v>14</v>
      </c>
      <c r="F11">
        <f>42-22</f>
        <v>20</v>
      </c>
      <c r="G11">
        <f>46-18</f>
        <v>28</v>
      </c>
      <c r="H11" s="34">
        <f t="shared" ref="H11:H16" si="8">_xlfn.T.TEST(B11:G11,$B$25:$G$25,2,1)</f>
        <v>3.1923280851827566E-3</v>
      </c>
      <c r="I11" s="12" t="str">
        <f t="shared" si="1"/>
        <v>**</v>
      </c>
      <c r="J11">
        <f t="shared" si="2"/>
        <v>25.5</v>
      </c>
      <c r="K11">
        <f t="shared" si="0"/>
        <v>4.1613299156239307</v>
      </c>
      <c r="L11" s="25">
        <v>2.7E-2</v>
      </c>
      <c r="M11" t="str">
        <f t="shared" si="3"/>
        <v>*</v>
      </c>
      <c r="N11" s="13">
        <v>0.88139999999999996</v>
      </c>
      <c r="O11" s="7" t="str">
        <f t="shared" si="4"/>
        <v/>
      </c>
      <c r="P11" s="13">
        <v>0.8357</v>
      </c>
      <c r="Q11" s="7" t="str">
        <f t="shared" si="5"/>
        <v/>
      </c>
      <c r="R11" s="16">
        <v>0.71489999999999998</v>
      </c>
      <c r="S11" t="str">
        <f t="shared" si="6"/>
        <v/>
      </c>
      <c r="T11" s="17" t="s">
        <v>49</v>
      </c>
      <c r="U11" t="str">
        <f t="shared" si="7"/>
        <v/>
      </c>
    </row>
    <row r="12" spans="1:21" ht="14.4" customHeight="1" x14ac:dyDescent="0.3">
      <c r="A12" s="3" t="s">
        <v>19</v>
      </c>
      <c r="B12">
        <f>36-17</f>
        <v>19</v>
      </c>
      <c r="C12">
        <f>20-16</f>
        <v>4</v>
      </c>
      <c r="D12">
        <f>21-11</f>
        <v>10</v>
      </c>
      <c r="E12">
        <f>18-25</f>
        <v>-7</v>
      </c>
      <c r="F12">
        <f>21-29</f>
        <v>-8</v>
      </c>
      <c r="G12">
        <f>7-0</f>
        <v>7</v>
      </c>
      <c r="H12" s="25">
        <f t="shared" si="8"/>
        <v>0.71492000763299646</v>
      </c>
      <c r="I12" t="str">
        <f t="shared" si="1"/>
        <v/>
      </c>
      <c r="J12">
        <f t="shared" si="2"/>
        <v>4.166666666666667</v>
      </c>
      <c r="K12">
        <f t="shared" si="0"/>
        <v>4.2222953210046521</v>
      </c>
      <c r="L12" s="25">
        <v>1</v>
      </c>
      <c r="M12" t="str">
        <f t="shared" si="3"/>
        <v/>
      </c>
      <c r="N12" s="13">
        <v>0.38390000000000002</v>
      </c>
      <c r="O12" s="7" t="str">
        <f t="shared" si="4"/>
        <v/>
      </c>
      <c r="P12" s="13">
        <v>0.31119999999999998</v>
      </c>
      <c r="Q12" s="7" t="str">
        <f t="shared" si="5"/>
        <v/>
      </c>
      <c r="R12" s="16">
        <v>0.60029999999999994</v>
      </c>
      <c r="S12" t="str">
        <f t="shared" si="6"/>
        <v/>
      </c>
      <c r="T12" s="16">
        <v>0.75990000000000002</v>
      </c>
      <c r="U12" t="str">
        <f t="shared" si="7"/>
        <v/>
      </c>
    </row>
    <row r="13" spans="1:21" ht="14.4" customHeight="1" x14ac:dyDescent="0.3">
      <c r="A13" s="3" t="s">
        <v>20</v>
      </c>
      <c r="B13">
        <f>17-14</f>
        <v>3</v>
      </c>
      <c r="C13">
        <f>46-63</f>
        <v>-17</v>
      </c>
      <c r="D13">
        <f>11-11</f>
        <v>0</v>
      </c>
      <c r="E13">
        <f>19-32</f>
        <v>-13</v>
      </c>
      <c r="F13">
        <f>37-25</f>
        <v>12</v>
      </c>
      <c r="G13">
        <f>17-7</f>
        <v>10</v>
      </c>
      <c r="H13" s="25">
        <f t="shared" si="8"/>
        <v>0.51012093297296257</v>
      </c>
      <c r="I13" t="str">
        <f t="shared" si="1"/>
        <v/>
      </c>
      <c r="J13">
        <f t="shared" si="2"/>
        <v>-0.83333333333333337</v>
      </c>
      <c r="K13">
        <f t="shared" si="0"/>
        <v>4.8539788947945697</v>
      </c>
      <c r="L13" s="25">
        <v>0.6</v>
      </c>
      <c r="M13" t="str">
        <f t="shared" si="3"/>
        <v/>
      </c>
      <c r="N13" s="13">
        <v>0.63229999999999997</v>
      </c>
      <c r="O13" s="7" t="str">
        <f t="shared" si="4"/>
        <v/>
      </c>
      <c r="P13" s="13">
        <v>0.86009999999999998</v>
      </c>
      <c r="Q13" s="7" t="str">
        <f t="shared" si="5"/>
        <v/>
      </c>
      <c r="R13" s="16">
        <v>0.98129999999999995</v>
      </c>
      <c r="S13" t="str">
        <f t="shared" si="6"/>
        <v/>
      </c>
      <c r="T13" s="16">
        <v>0.86360000000000003</v>
      </c>
      <c r="U13" t="str">
        <f t="shared" si="7"/>
        <v/>
      </c>
    </row>
    <row r="14" spans="1:21" ht="14.4" customHeight="1" x14ac:dyDescent="0.3">
      <c r="A14" s="3" t="s">
        <v>36</v>
      </c>
      <c r="B14">
        <f>59-22</f>
        <v>37</v>
      </c>
      <c r="C14">
        <f>66-14</f>
        <v>52</v>
      </c>
      <c r="D14">
        <f>62-18</f>
        <v>44</v>
      </c>
      <c r="E14">
        <f>28-19</f>
        <v>9</v>
      </c>
      <c r="F14">
        <f>76-41</f>
        <v>35</v>
      </c>
      <c r="G14">
        <f>41-21</f>
        <v>20</v>
      </c>
      <c r="H14" s="34">
        <f t="shared" si="8"/>
        <v>2.7970610813473091E-3</v>
      </c>
      <c r="I14" s="12" t="str">
        <f t="shared" si="1"/>
        <v>**</v>
      </c>
      <c r="J14">
        <f t="shared" si="2"/>
        <v>32.833333333333336</v>
      </c>
      <c r="K14">
        <f t="shared" si="0"/>
        <v>6.4467907606119113</v>
      </c>
      <c r="L14" s="25">
        <v>2.7E-2</v>
      </c>
      <c r="M14" t="str">
        <f t="shared" si="3"/>
        <v>*</v>
      </c>
      <c r="N14" s="13">
        <v>0.1565</v>
      </c>
      <c r="O14" s="7" t="str">
        <f t="shared" si="4"/>
        <v/>
      </c>
      <c r="P14" s="13">
        <v>0.23430000000000001</v>
      </c>
      <c r="Q14" s="7" t="str">
        <f t="shared" si="5"/>
        <v/>
      </c>
      <c r="R14" s="16">
        <v>0.54169999999999996</v>
      </c>
      <c r="S14" t="str">
        <f t="shared" si="6"/>
        <v/>
      </c>
      <c r="T14" s="16">
        <v>0.53380000000000005</v>
      </c>
      <c r="U14" t="str">
        <f t="shared" si="7"/>
        <v/>
      </c>
    </row>
    <row r="15" spans="1:21" ht="14.4" customHeight="1" x14ac:dyDescent="0.3">
      <c r="A15" s="3" t="s">
        <v>24</v>
      </c>
      <c r="B15">
        <f>34-11</f>
        <v>23</v>
      </c>
      <c r="C15">
        <f>34-49</f>
        <v>-15</v>
      </c>
      <c r="D15">
        <f>12-14</f>
        <v>-2</v>
      </c>
      <c r="E15">
        <f>33-20</f>
        <v>13</v>
      </c>
      <c r="F15">
        <f>29-43</f>
        <v>-14</v>
      </c>
      <c r="G15">
        <f>12-10</f>
        <v>2</v>
      </c>
      <c r="H15" s="25">
        <f t="shared" si="8"/>
        <v>0.84379532625973941</v>
      </c>
      <c r="I15" t="str">
        <f t="shared" si="1"/>
        <v/>
      </c>
      <c r="J15">
        <f t="shared" si="2"/>
        <v>1.1666666666666667</v>
      </c>
      <c r="K15">
        <f t="shared" si="0"/>
        <v>6.106917753207787</v>
      </c>
      <c r="L15" s="25">
        <v>0.91700000000000004</v>
      </c>
      <c r="M15" t="str">
        <f t="shared" si="3"/>
        <v/>
      </c>
      <c r="N15" s="13">
        <v>0.26500000000000001</v>
      </c>
      <c r="O15" s="7" t="str">
        <f t="shared" si="4"/>
        <v/>
      </c>
      <c r="P15" s="13">
        <v>0.44519999999999998</v>
      </c>
      <c r="Q15" s="7" t="str">
        <f t="shared" si="5"/>
        <v/>
      </c>
      <c r="R15" s="16">
        <v>0.51119999999999999</v>
      </c>
      <c r="S15" t="str">
        <f t="shared" si="6"/>
        <v/>
      </c>
      <c r="T15" s="16">
        <v>0.46739999999999998</v>
      </c>
      <c r="U15" t="str">
        <f t="shared" si="7"/>
        <v/>
      </c>
    </row>
    <row r="16" spans="1:21" ht="14.4" customHeight="1" x14ac:dyDescent="0.3">
      <c r="A16" s="3" t="s">
        <v>57</v>
      </c>
      <c r="B16">
        <f>42-16</f>
        <v>26</v>
      </c>
      <c r="C16">
        <f>28-26</f>
        <v>2</v>
      </c>
      <c r="D16">
        <f>31-8</f>
        <v>23</v>
      </c>
      <c r="E16">
        <f>42-20</f>
        <v>22</v>
      </c>
      <c r="F16">
        <f>56-28</f>
        <v>28</v>
      </c>
      <c r="G16">
        <f>25-13</f>
        <v>12</v>
      </c>
      <c r="H16" s="34">
        <f t="shared" si="8"/>
        <v>2.7138588171042016E-2</v>
      </c>
      <c r="I16" s="12" t="str">
        <f t="shared" si="1"/>
        <v>*</v>
      </c>
      <c r="J16">
        <f t="shared" si="2"/>
        <v>18.833333333333332</v>
      </c>
      <c r="K16">
        <f t="shared" si="0"/>
        <v>4.0531195119041072</v>
      </c>
      <c r="L16" s="25">
        <v>4.5999999999999999E-2</v>
      </c>
      <c r="M16" t="str">
        <f t="shared" si="3"/>
        <v>*</v>
      </c>
      <c r="N16" s="13">
        <v>0.3478</v>
      </c>
      <c r="O16" s="7" t="str">
        <f t="shared" si="4"/>
        <v/>
      </c>
      <c r="P16" s="13">
        <v>0.34499999999999997</v>
      </c>
      <c r="Q16" s="7" t="str">
        <f t="shared" si="5"/>
        <v/>
      </c>
      <c r="R16" s="16">
        <v>0.82130000000000003</v>
      </c>
      <c r="S16" t="str">
        <f t="shared" si="6"/>
        <v/>
      </c>
      <c r="T16" s="16">
        <v>0.80710000000000004</v>
      </c>
      <c r="U16" t="str">
        <f t="shared" si="7"/>
        <v/>
      </c>
    </row>
    <row r="17" spans="1:21" ht="14.4" customHeight="1" x14ac:dyDescent="0.3">
      <c r="A17" s="2" t="s">
        <v>25</v>
      </c>
      <c r="B17">
        <f>31-20</f>
        <v>11</v>
      </c>
      <c r="C17">
        <f>37-31</f>
        <v>6</v>
      </c>
      <c r="D17">
        <f>9-10</f>
        <v>-1</v>
      </c>
      <c r="E17">
        <f>21-19</f>
        <v>2</v>
      </c>
      <c r="F17">
        <f>38-34</f>
        <v>4</v>
      </c>
      <c r="G17">
        <f>19-12</f>
        <v>7</v>
      </c>
      <c r="H17" s="25">
        <f>_xlfn.T.TEST(B17:G17,$B$26:$G$26,2,1)</f>
        <v>0.95993025410662947</v>
      </c>
      <c r="I17" t="str">
        <f t="shared" si="1"/>
        <v/>
      </c>
      <c r="J17">
        <f t="shared" si="2"/>
        <v>4.833333333333333</v>
      </c>
      <c r="K17">
        <f t="shared" si="0"/>
        <v>1.7013066873566463</v>
      </c>
      <c r="L17" s="25">
        <v>0.5</v>
      </c>
      <c r="M17" t="str">
        <f t="shared" si="3"/>
        <v/>
      </c>
      <c r="N17" s="13">
        <v>0.92030000000000001</v>
      </c>
      <c r="O17" s="7" t="str">
        <f t="shared" si="4"/>
        <v/>
      </c>
      <c r="P17" s="13">
        <v>0.85060000000000002</v>
      </c>
      <c r="Q17" s="7" t="str">
        <f t="shared" si="5"/>
        <v/>
      </c>
      <c r="R17" s="16">
        <v>0.1172</v>
      </c>
      <c r="S17" t="str">
        <f t="shared" si="6"/>
        <v/>
      </c>
      <c r="T17" s="16">
        <v>0.14860000000000001</v>
      </c>
      <c r="U17" t="str">
        <f t="shared" si="7"/>
        <v/>
      </c>
    </row>
    <row r="18" spans="1:21" ht="14.4" customHeight="1" x14ac:dyDescent="0.3">
      <c r="A18" s="2" t="s">
        <v>33</v>
      </c>
      <c r="B18">
        <f>33-23</f>
        <v>10</v>
      </c>
      <c r="C18">
        <f>37-46</f>
        <v>-9</v>
      </c>
      <c r="D18">
        <f>13-9</f>
        <v>4</v>
      </c>
      <c r="E18">
        <f>20-10</f>
        <v>10</v>
      </c>
      <c r="F18">
        <f>37-29</f>
        <v>8</v>
      </c>
      <c r="G18">
        <f>5-15</f>
        <v>-10</v>
      </c>
      <c r="H18" s="25">
        <f>_xlfn.T.TEST(B18:G18,$B$26:$G$26,2,1)</f>
        <v>0.63405560512023207</v>
      </c>
      <c r="I18" t="str">
        <f t="shared" si="1"/>
        <v/>
      </c>
      <c r="J18">
        <f t="shared" si="2"/>
        <v>2.1666666666666665</v>
      </c>
      <c r="K18">
        <f t="shared" si="0"/>
        <v>3.7983914724232655</v>
      </c>
      <c r="L18" s="25">
        <v>0.91700000000000004</v>
      </c>
      <c r="M18" t="str">
        <f t="shared" si="3"/>
        <v/>
      </c>
      <c r="N18" s="13">
        <v>0.39589999999999997</v>
      </c>
      <c r="O18" s="7" t="str">
        <f t="shared" si="4"/>
        <v/>
      </c>
      <c r="P18" s="13">
        <v>0.48270000000000002</v>
      </c>
      <c r="Q18" s="7" t="str">
        <f t="shared" si="5"/>
        <v/>
      </c>
      <c r="R18" s="16">
        <v>0.25779999999999997</v>
      </c>
      <c r="S18" t="str">
        <f t="shared" si="6"/>
        <v/>
      </c>
      <c r="T18" s="16">
        <v>0.1865</v>
      </c>
      <c r="U18" t="str">
        <f t="shared" si="7"/>
        <v/>
      </c>
    </row>
    <row r="19" spans="1:21" ht="14.4" customHeight="1" x14ac:dyDescent="0.3">
      <c r="A19" s="3" t="s">
        <v>26</v>
      </c>
      <c r="B19">
        <f>26-35</f>
        <v>-9</v>
      </c>
      <c r="C19">
        <f>30-23</f>
        <v>7</v>
      </c>
      <c r="D19">
        <f>25-24</f>
        <v>1</v>
      </c>
      <c r="E19">
        <f>23-15</f>
        <v>8</v>
      </c>
      <c r="F19">
        <f>35-31</f>
        <v>4</v>
      </c>
      <c r="G19">
        <f>24-14</f>
        <v>10</v>
      </c>
      <c r="H19" s="25">
        <f t="shared" ref="H19:H23" si="9">_xlfn.T.TEST(B19:G19,$B$25:$G$25,2,1)</f>
        <v>0.79693027930693894</v>
      </c>
      <c r="I19" t="str">
        <f t="shared" si="1"/>
        <v/>
      </c>
      <c r="J19">
        <f t="shared" si="2"/>
        <v>3.5</v>
      </c>
      <c r="K19">
        <f t="shared" si="0"/>
        <v>2.8136571693556891</v>
      </c>
      <c r="L19" s="25">
        <v>0.753</v>
      </c>
      <c r="M19" t="str">
        <f t="shared" si="3"/>
        <v/>
      </c>
      <c r="N19" s="13">
        <v>0.96660000000000001</v>
      </c>
      <c r="O19" s="7" t="str">
        <f t="shared" si="4"/>
        <v/>
      </c>
      <c r="P19" s="13">
        <v>0.8528</v>
      </c>
      <c r="Q19" s="7" t="str">
        <f t="shared" si="5"/>
        <v/>
      </c>
      <c r="R19" s="16">
        <v>0.29599999999999999</v>
      </c>
      <c r="S19" t="str">
        <f t="shared" si="6"/>
        <v/>
      </c>
      <c r="T19" s="16">
        <v>0.24829999999999999</v>
      </c>
      <c r="U19" t="str">
        <f t="shared" si="7"/>
        <v/>
      </c>
    </row>
    <row r="20" spans="1:21" ht="14.4" customHeight="1" x14ac:dyDescent="0.3">
      <c r="A20" s="3" t="s">
        <v>37</v>
      </c>
      <c r="B20">
        <f>24-15</f>
        <v>9</v>
      </c>
      <c r="C20">
        <f>15-29</f>
        <v>-14</v>
      </c>
      <c r="D20">
        <f>20-19</f>
        <v>1</v>
      </c>
      <c r="E20">
        <f>28-12</f>
        <v>16</v>
      </c>
      <c r="F20">
        <f>24-35</f>
        <v>-11</v>
      </c>
      <c r="G20">
        <f>27-25</f>
        <v>2</v>
      </c>
      <c r="H20" s="25">
        <f t="shared" si="9"/>
        <v>0.72903394518566866</v>
      </c>
      <c r="I20" t="str">
        <f t="shared" si="1"/>
        <v/>
      </c>
      <c r="J20">
        <f t="shared" si="2"/>
        <v>0.5</v>
      </c>
      <c r="K20">
        <f t="shared" si="0"/>
        <v>4.6815239683960463</v>
      </c>
      <c r="L20" s="25">
        <v>0.67400000000000004</v>
      </c>
      <c r="M20" t="str">
        <f t="shared" si="3"/>
        <v/>
      </c>
      <c r="N20" s="13">
        <v>0.45950000000000002</v>
      </c>
      <c r="O20" s="7" t="str">
        <f t="shared" si="4"/>
        <v/>
      </c>
      <c r="P20" s="13">
        <v>0.70509999999999995</v>
      </c>
      <c r="Q20" s="7" t="str">
        <f t="shared" si="5"/>
        <v/>
      </c>
      <c r="R20" s="16">
        <v>0.52329999999999999</v>
      </c>
      <c r="S20" t="str">
        <f t="shared" si="6"/>
        <v/>
      </c>
      <c r="T20" s="16">
        <v>0.55830000000000002</v>
      </c>
      <c r="U20" t="str">
        <f t="shared" si="7"/>
        <v/>
      </c>
    </row>
    <row r="21" spans="1:21" ht="14.4" customHeight="1" x14ac:dyDescent="0.3">
      <c r="A21" s="3" t="s">
        <v>27</v>
      </c>
      <c r="B21">
        <f>26-27</f>
        <v>-1</v>
      </c>
      <c r="C21">
        <f>24-22</f>
        <v>2</v>
      </c>
      <c r="D21">
        <f>19-16</f>
        <v>3</v>
      </c>
      <c r="E21">
        <f>17-14</f>
        <v>3</v>
      </c>
      <c r="F21">
        <f>37-34</f>
        <v>3</v>
      </c>
      <c r="G21">
        <f>27-22</f>
        <v>5</v>
      </c>
      <c r="H21" s="25">
        <f t="shared" si="9"/>
        <v>0.92576691094601971</v>
      </c>
      <c r="I21" t="str">
        <f t="shared" si="1"/>
        <v/>
      </c>
      <c r="J21">
        <f t="shared" si="2"/>
        <v>2.5</v>
      </c>
      <c r="K21">
        <f t="shared" si="0"/>
        <v>0.80622577482985502</v>
      </c>
      <c r="L21" s="25">
        <v>0.752</v>
      </c>
      <c r="M21" t="str">
        <f t="shared" si="3"/>
        <v/>
      </c>
      <c r="N21" s="13">
        <v>0.1598</v>
      </c>
      <c r="O21" s="7" t="str">
        <f t="shared" si="4"/>
        <v/>
      </c>
      <c r="P21" s="13">
        <v>0.31390000000000001</v>
      </c>
      <c r="Q21" s="7" t="str">
        <f t="shared" si="5"/>
        <v/>
      </c>
      <c r="R21" s="16">
        <v>0.43030000000000002</v>
      </c>
      <c r="S21" t="str">
        <f t="shared" si="6"/>
        <v/>
      </c>
      <c r="T21" s="16">
        <v>0.87239999999999995</v>
      </c>
      <c r="U21" t="str">
        <f t="shared" si="7"/>
        <v/>
      </c>
    </row>
    <row r="22" spans="1:21" ht="14.4" customHeight="1" x14ac:dyDescent="0.3">
      <c r="A22" s="3" t="s">
        <v>28</v>
      </c>
      <c r="B22">
        <f>19-16</f>
        <v>3</v>
      </c>
      <c r="C22">
        <f>33-31</f>
        <v>2</v>
      </c>
      <c r="D22">
        <f>28-13</f>
        <v>15</v>
      </c>
      <c r="E22">
        <f>24-19</f>
        <v>5</v>
      </c>
      <c r="F22">
        <f>28-28</f>
        <v>0</v>
      </c>
      <c r="G22">
        <f>23-12</f>
        <v>11</v>
      </c>
      <c r="H22" s="25">
        <f t="shared" si="9"/>
        <v>0.16931253409767635</v>
      </c>
      <c r="I22" t="str">
        <f t="shared" si="1"/>
        <v/>
      </c>
      <c r="J22">
        <f t="shared" si="2"/>
        <v>6</v>
      </c>
      <c r="K22">
        <f t="shared" si="0"/>
        <v>2.3664319132398468</v>
      </c>
      <c r="L22" s="25">
        <v>0.17299999999999999</v>
      </c>
      <c r="M22" t="str">
        <f t="shared" si="3"/>
        <v/>
      </c>
      <c r="N22" s="13">
        <v>0.29909999999999998</v>
      </c>
      <c r="O22" s="7" t="str">
        <f t="shared" si="4"/>
        <v/>
      </c>
      <c r="P22" s="13">
        <v>0.25319999999999998</v>
      </c>
      <c r="Q22" s="7" t="str">
        <f t="shared" si="5"/>
        <v/>
      </c>
      <c r="R22" s="16">
        <v>0.20899999999999999</v>
      </c>
      <c r="S22" t="str">
        <f t="shared" si="6"/>
        <v/>
      </c>
      <c r="T22" s="16">
        <v>0.4254</v>
      </c>
      <c r="U22" t="str">
        <f t="shared" si="7"/>
        <v/>
      </c>
    </row>
    <row r="23" spans="1:21" ht="14.4" customHeight="1" x14ac:dyDescent="0.3">
      <c r="A23" s="3" t="s">
        <v>29</v>
      </c>
      <c r="B23">
        <f>18-16</f>
        <v>2</v>
      </c>
      <c r="C23">
        <f>28-24</f>
        <v>4</v>
      </c>
      <c r="D23">
        <f>28-19</f>
        <v>9</v>
      </c>
      <c r="E23">
        <f>23-18</f>
        <v>5</v>
      </c>
      <c r="F23">
        <f>38-36</f>
        <v>2</v>
      </c>
      <c r="G23">
        <f>5-11</f>
        <v>-6</v>
      </c>
      <c r="H23" s="25">
        <f t="shared" si="9"/>
        <v>1</v>
      </c>
      <c r="I23" t="str">
        <f t="shared" si="1"/>
        <v/>
      </c>
      <c r="J23">
        <f t="shared" si="2"/>
        <v>2.6666666666666665</v>
      </c>
      <c r="K23">
        <f t="shared" si="0"/>
        <v>2.0275875100994067</v>
      </c>
      <c r="L23" s="25">
        <v>0.75</v>
      </c>
      <c r="M23" t="str">
        <f t="shared" si="3"/>
        <v/>
      </c>
      <c r="N23" s="13">
        <v>0.77829999999999999</v>
      </c>
      <c r="O23" s="7" t="str">
        <f t="shared" si="4"/>
        <v/>
      </c>
      <c r="P23" s="13">
        <v>0.35709999999999997</v>
      </c>
      <c r="Q23" s="7" t="str">
        <f t="shared" si="5"/>
        <v/>
      </c>
      <c r="R23" s="16">
        <v>0.34520000000000001</v>
      </c>
      <c r="S23" s="7" t="str">
        <f t="shared" si="6"/>
        <v/>
      </c>
      <c r="T23" s="16">
        <v>0.38290000000000002</v>
      </c>
      <c r="U23" t="str">
        <f t="shared" si="7"/>
        <v/>
      </c>
    </row>
    <row r="24" spans="1:21" ht="14.4" customHeight="1" x14ac:dyDescent="0.3">
      <c r="A24" s="3" t="s">
        <v>48</v>
      </c>
      <c r="B24">
        <f>21-21</f>
        <v>0</v>
      </c>
      <c r="C24">
        <f>23-16</f>
        <v>7</v>
      </c>
      <c r="D24">
        <f>21-22</f>
        <v>-1</v>
      </c>
      <c r="E24">
        <f>22-16</f>
        <v>6</v>
      </c>
      <c r="F24">
        <f>34-28</f>
        <v>6</v>
      </c>
      <c r="G24">
        <f>20-18</f>
        <v>2</v>
      </c>
      <c r="H24" s="25">
        <f>_xlfn.T.TEST(B24:G24,$B$25:$G$25,2,1)</f>
        <v>0.8080955659456398</v>
      </c>
      <c r="I24" t="str">
        <f t="shared" si="1"/>
        <v/>
      </c>
      <c r="J24">
        <f t="shared" si="2"/>
        <v>3.3333333333333335</v>
      </c>
      <c r="K24">
        <f t="shared" si="0"/>
        <v>1.4063348739819326</v>
      </c>
      <c r="L24" s="25">
        <v>0.68600000000000005</v>
      </c>
      <c r="M24" t="str">
        <f t="shared" si="3"/>
        <v/>
      </c>
      <c r="N24" s="13">
        <v>0.19520000000000001</v>
      </c>
      <c r="O24" s="7" t="str">
        <f t="shared" si="4"/>
        <v/>
      </c>
      <c r="P24" s="13">
        <v>0.1991</v>
      </c>
      <c r="Q24" s="7" t="str">
        <f t="shared" si="5"/>
        <v/>
      </c>
      <c r="R24" s="14">
        <v>0.01</v>
      </c>
      <c r="S24" s="7" t="str">
        <f t="shared" si="6"/>
        <v>*</v>
      </c>
      <c r="T24" s="14">
        <v>8.2000000000000007E-3</v>
      </c>
      <c r="U24" s="7" t="str">
        <f t="shared" si="7"/>
        <v>**</v>
      </c>
    </row>
    <row r="25" spans="1:21" ht="14.4" customHeight="1" x14ac:dyDescent="0.3">
      <c r="A25" s="3" t="s">
        <v>31</v>
      </c>
      <c r="B25">
        <f>21-21</f>
        <v>0</v>
      </c>
      <c r="C25">
        <f>29-23</f>
        <v>6</v>
      </c>
      <c r="D25">
        <f>18-11</f>
        <v>7</v>
      </c>
      <c r="E25">
        <f>22-26</f>
        <v>-4</v>
      </c>
      <c r="F25">
        <f>8-7</f>
        <v>1</v>
      </c>
      <c r="G25">
        <f>20-14</f>
        <v>6</v>
      </c>
      <c r="H25" t="s">
        <v>6</v>
      </c>
      <c r="J25">
        <f t="shared" si="2"/>
        <v>2.6666666666666665</v>
      </c>
      <c r="K25">
        <f t="shared" si="0"/>
        <v>1.7826322609494587</v>
      </c>
      <c r="N25" s="13">
        <v>0.51259999999999994</v>
      </c>
      <c r="O25" s="7" t="str">
        <f t="shared" si="4"/>
        <v/>
      </c>
      <c r="P25" s="13">
        <v>0.63639999999999997</v>
      </c>
      <c r="Q25" s="7" t="str">
        <f t="shared" si="5"/>
        <v/>
      </c>
      <c r="R25" s="16">
        <v>0.2306</v>
      </c>
      <c r="S25" t="str">
        <f t="shared" si="6"/>
        <v/>
      </c>
      <c r="T25" s="16">
        <v>0.24299999999999999</v>
      </c>
      <c r="U25" t="str">
        <f t="shared" si="7"/>
        <v/>
      </c>
    </row>
    <row r="26" spans="1:21" ht="14.4" customHeight="1" x14ac:dyDescent="0.3">
      <c r="A26" s="2" t="s">
        <v>30</v>
      </c>
      <c r="B26">
        <f>14-18</f>
        <v>-4</v>
      </c>
      <c r="C26">
        <f>29-18</f>
        <v>11</v>
      </c>
      <c r="D26">
        <f>13-14</f>
        <v>-1</v>
      </c>
      <c r="E26">
        <f>19-11</f>
        <v>8</v>
      </c>
      <c r="F26">
        <f>13-6</f>
        <v>7</v>
      </c>
      <c r="G26">
        <f>14-5</f>
        <v>9</v>
      </c>
      <c r="H26" t="s">
        <v>6</v>
      </c>
      <c r="J26">
        <f t="shared" si="2"/>
        <v>5</v>
      </c>
      <c r="K26">
        <f t="shared" si="0"/>
        <v>2.4630604269214889</v>
      </c>
      <c r="N26" s="14">
        <v>3.4500000000000003E-2</v>
      </c>
      <c r="O26" s="7" t="str">
        <f t="shared" si="4"/>
        <v>*</v>
      </c>
      <c r="P26" s="13">
        <v>7.6300000000000007E-2</v>
      </c>
      <c r="Q26" s="7" t="str">
        <f t="shared" si="5"/>
        <v/>
      </c>
      <c r="R26" s="16">
        <v>8.6300000000000002E-2</v>
      </c>
      <c r="S26" t="str">
        <f t="shared" si="6"/>
        <v/>
      </c>
      <c r="T26" s="16">
        <v>0.1474</v>
      </c>
      <c r="U26" t="str">
        <f t="shared" si="7"/>
        <v/>
      </c>
    </row>
    <row r="27" spans="1:21" x14ac:dyDescent="0.3">
      <c r="G27" t="s">
        <v>55</v>
      </c>
      <c r="H27" s="25">
        <f>_xlfn.T.TEST(B25:G25,B26:G26,2,1)</f>
        <v>0.46502263826075718</v>
      </c>
      <c r="K27" t="s">
        <v>55</v>
      </c>
      <c r="L27">
        <v>0.5625</v>
      </c>
    </row>
  </sheetData>
  <pageMargins left="0.7" right="0.7" top="0.75" bottom="0.75" header="0.3" footer="0.3"/>
  <ignoredErrors>
    <ignoredError sqref="H10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Oregon - WT</vt:lpstr>
      <vt:lpstr>w;pIR76a-Gal4;pUASCpomIR41a1</vt:lpstr>
      <vt:lpstr>w;pIR75dGal4;IR75KO</vt:lpstr>
      <vt:lpstr>w;UASDsuzIR75d;IR75KO</vt:lpstr>
      <vt:lpstr>w;UASDsuzIR75d-IR75dGal4;IR75KO</vt:lpstr>
      <vt:lpstr>w;BlCyO;pIR84aKOGal4</vt:lpstr>
      <vt:lpstr>w;UASDsuzIR64a;pIR84a-Gal4</vt:lpstr>
      <vt:lpstr>w;UASCpomIR64a∆;pIR84a-Gal4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Maria Cattaneo</dc:creator>
  <cp:lastModifiedBy>Alberto Maria Cattaneo</cp:lastModifiedBy>
  <cp:lastPrinted>2023-02-08T16:03:55Z</cp:lastPrinted>
  <dcterms:created xsi:type="dcterms:W3CDTF">2022-09-12T09:13:06Z</dcterms:created>
  <dcterms:modified xsi:type="dcterms:W3CDTF">2025-05-14T09:35:14Z</dcterms:modified>
</cp:coreProperties>
</file>