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v/Dropbox (Dartmouth College)/Dartmouth Research/Recurrent Outcomes - Sys. Review/SUBMITTED/PHR/"/>
    </mc:Choice>
  </mc:AlternateContent>
  <xr:revisionPtr revIDLastSave="0" documentId="13_ncr:1_{66790E20-3FB4-A24F-AF3D-617EF35A9931}" xr6:coauthVersionLast="47" xr6:coauthVersionMax="47" xr10:uidLastSave="{00000000-0000-0000-0000-000000000000}"/>
  <bookViews>
    <workbookView xWindow="20" yWindow="680" windowWidth="27000" windowHeight="16720" activeTab="5" xr2:uid="{B2CDF1D8-2C76-2841-A4EB-B68EAF351834}"/>
  </bookViews>
  <sheets>
    <sheet name="Adams 2000" sheetId="5" r:id="rId1"/>
    <sheet name="Ekwo 1998" sheetId="7" r:id="rId2"/>
    <sheet name="Grantz 2015" sheetId="2" r:id="rId3"/>
    <sheet name="McManemy 2007" sheetId="8" r:id="rId4"/>
    <sheet name="Hinkle 2014" sheetId="9" r:id="rId5"/>
    <sheet name="Okah 2010" sheetId="10" r:id="rId6"/>
  </sheets>
  <definedNames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5" l="1"/>
  <c r="C16" i="10"/>
  <c r="C15" i="10"/>
  <c r="C11" i="10"/>
  <c r="C10" i="10"/>
  <c r="C6" i="10"/>
  <c r="C7" i="10"/>
  <c r="B15" i="10"/>
  <c r="B19" i="9"/>
  <c r="C19" i="9" s="1"/>
  <c r="E19" i="9" s="1"/>
  <c r="C18" i="9"/>
  <c r="B18" i="9"/>
  <c r="E14" i="9"/>
  <c r="C15" i="9"/>
  <c r="C14" i="9"/>
  <c r="B15" i="9"/>
  <c r="B14" i="9"/>
  <c r="B11" i="9"/>
  <c r="B10" i="9"/>
  <c r="E15" i="9"/>
  <c r="C11" i="9"/>
  <c r="E11" i="9" s="1"/>
  <c r="C10" i="9"/>
  <c r="C7" i="9"/>
  <c r="C6" i="9"/>
  <c r="E7" i="9" s="1"/>
  <c r="B7" i="9"/>
  <c r="B6" i="9"/>
  <c r="D24" i="9"/>
  <c r="D23" i="9"/>
  <c r="E24" i="9"/>
  <c r="C23" i="2"/>
  <c r="C22" i="2"/>
  <c r="B23" i="2"/>
  <c r="B22" i="2"/>
  <c r="D23" i="2"/>
  <c r="D22" i="2"/>
  <c r="C15" i="5"/>
  <c r="C14" i="5"/>
  <c r="B15" i="5"/>
  <c r="B14" i="5"/>
  <c r="D15" i="5"/>
  <c r="C15" i="7"/>
  <c r="C14" i="7"/>
  <c r="B15" i="7"/>
  <c r="B14" i="7"/>
  <c r="D15" i="7"/>
  <c r="D14" i="7"/>
  <c r="D14" i="8"/>
  <c r="D15" i="8"/>
  <c r="C11" i="8"/>
  <c r="B11" i="8"/>
  <c r="C10" i="8"/>
  <c r="B10" i="8"/>
  <c r="C7" i="8"/>
  <c r="B7" i="8"/>
  <c r="C6" i="8"/>
  <c r="B6" i="8"/>
  <c r="C11" i="7"/>
  <c r="C10" i="7"/>
  <c r="C7" i="7"/>
  <c r="C6" i="7"/>
  <c r="D7" i="7" s="1"/>
  <c r="C11" i="5"/>
  <c r="C10" i="5"/>
  <c r="D11" i="5" s="1"/>
  <c r="C7" i="5"/>
  <c r="C6" i="5"/>
  <c r="D7" i="5"/>
  <c r="D6" i="5"/>
  <c r="E16" i="10" l="1"/>
  <c r="E15" i="10"/>
  <c r="E10" i="10"/>
  <c r="E11" i="10"/>
  <c r="D14" i="5"/>
  <c r="D6" i="8"/>
  <c r="D10" i="8"/>
  <c r="D7" i="8"/>
  <c r="D11" i="8"/>
  <c r="D10" i="7"/>
  <c r="D6" i="7"/>
  <c r="D11" i="7"/>
  <c r="E7" i="10" l="1"/>
  <c r="E6" i="10"/>
  <c r="E6" i="9"/>
  <c r="E10" i="9"/>
  <c r="D19" i="2"/>
  <c r="D15" i="2"/>
  <c r="D7" i="2"/>
  <c r="D11" i="2"/>
  <c r="D18" i="2"/>
  <c r="D14" i="2"/>
  <c r="D10" i="2"/>
  <c r="D6" i="2"/>
  <c r="E23" i="9" l="1"/>
</calcChain>
</file>

<file path=xl/sharedStrings.xml><?xml version="1.0" encoding="utf-8"?>
<sst xmlns="http://schemas.openxmlformats.org/spreadsheetml/2006/main" count="174" uniqueCount="43">
  <si>
    <t>RR</t>
  </si>
  <si>
    <t>CI- low</t>
  </si>
  <si>
    <t>CI - high</t>
  </si>
  <si>
    <t>Second preterm</t>
  </si>
  <si>
    <t>second term</t>
  </si>
  <si>
    <t>Grantz 2015</t>
  </si>
  <si>
    <t>Black</t>
  </si>
  <si>
    <t>Hispanic</t>
  </si>
  <si>
    <t>Asian</t>
  </si>
  <si>
    <t>White</t>
  </si>
  <si>
    <t>First PT</t>
  </si>
  <si>
    <t>First T</t>
  </si>
  <si>
    <t>Adams 2000</t>
  </si>
  <si>
    <t xml:space="preserve">     </t>
  </si>
  <si>
    <t>Ekwo 1998</t>
  </si>
  <si>
    <t>McManemy 2007</t>
  </si>
  <si>
    <t>TOTAL</t>
  </si>
  <si>
    <t>First SGA</t>
  </si>
  <si>
    <t>Second SGA</t>
  </si>
  <si>
    <t>First AGA</t>
  </si>
  <si>
    <t>second AGA</t>
  </si>
  <si>
    <t>Asian-PI</t>
  </si>
  <si>
    <t>Hinkle 2014</t>
  </si>
  <si>
    <t>Okah 2010</t>
  </si>
  <si>
    <t>STRATIFIED</t>
  </si>
  <si>
    <t>RR tables - all, stratified, Woolf test for homogeneity</t>
  </si>
  <si>
    <t>Chisq</t>
  </si>
  <si>
    <t>p-value</t>
  </si>
  <si>
    <t>Woolf test of homogeneity (with 1 DF)</t>
  </si>
  <si>
    <t>p&lt;.001</t>
  </si>
  <si>
    <t>p=0.111</t>
  </si>
  <si>
    <t>p=0.735</t>
  </si>
  <si>
    <t>p&lt;0.001</t>
  </si>
  <si>
    <t>p=0.007</t>
  </si>
  <si>
    <t>p=0.016</t>
  </si>
  <si>
    <t>p=0.146</t>
  </si>
  <si>
    <t>p=0.192</t>
  </si>
  <si>
    <t>p=0.710</t>
  </si>
  <si>
    <t>p=0.197</t>
  </si>
  <si>
    <t>95% CI- low</t>
  </si>
  <si>
    <t>95% CI - high</t>
  </si>
  <si>
    <t>p=0.150</t>
  </si>
  <si>
    <t>p=0.033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</si>
</sst>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Helvetica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2" fontId="0" fillId="0" borderId="0" xfId="0" applyNumberFormat="1"/>
    <xf numFmtId="0" fontId="0" fillId="0" borderId="0" xfId="0" applyNumberFormat="1"/>
    <xf numFmtId="2" fontId="3" fillId="0" borderId="0" xfId="0" applyNumberFormat="1" applyFont="1"/>
    <xf numFmtId="0" fontId="0" fillId="2" borderId="0" xfId="0" applyFill="1"/>
    <xf numFmtId="10" fontId="0" fillId="0" borderId="0" xfId="1" applyNumberFormat="1" applyFont="1"/>
    <xf numFmtId="2" fontId="3" fillId="3" borderId="0" xfId="0" applyNumberFormat="1" applyFont="1" applyFill="1"/>
    <xf numFmtId="1" fontId="0" fillId="0" borderId="0" xfId="0" applyNumberFormat="1"/>
    <xf numFmtId="1" fontId="0" fillId="0" borderId="0" xfId="0" applyNumberFormat="1" applyFont="1"/>
    <xf numFmtId="1" fontId="2" fillId="0" borderId="0" xfId="0" applyNumberFormat="1" applyFont="1"/>
    <xf numFmtId="0" fontId="0" fillId="0" borderId="0" xfId="0" applyFont="1"/>
    <xf numFmtId="0" fontId="0" fillId="0" borderId="0" xfId="0" applyNumberFormat="1" applyFont="1"/>
    <xf numFmtId="2" fontId="0" fillId="0" borderId="0" xfId="0" applyNumberFormat="1" applyFont="1"/>
    <xf numFmtId="0" fontId="0" fillId="2" borderId="0" xfId="0" applyFont="1" applyFill="1"/>
    <xf numFmtId="1" fontId="0" fillId="2" borderId="0" xfId="0" applyNumberFormat="1" applyFont="1" applyFill="1"/>
    <xf numFmtId="3" fontId="0" fillId="0" borderId="0" xfId="0" applyNumberFormat="1" applyFont="1"/>
    <xf numFmtId="1" fontId="0" fillId="2" borderId="0" xfId="0" applyNumberFormat="1" applyFont="1" applyFill="1" applyAlignment="1">
      <alignment horizontal="right"/>
    </xf>
    <xf numFmtId="10" fontId="0" fillId="0" borderId="0" xfId="0" applyNumberFormat="1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2" fontId="0" fillId="0" borderId="0" xfId="0" applyNumberFormat="1" applyFill="1"/>
    <xf numFmtId="0" fontId="0" fillId="0" borderId="0" xfId="0" applyFont="1" applyFill="1"/>
    <xf numFmtId="2" fontId="0" fillId="0" borderId="0" xfId="0" applyNumberFormat="1" applyFont="1" applyFill="1"/>
    <xf numFmtId="0" fontId="5" fillId="0" borderId="0" xfId="0" applyFont="1" applyFill="1"/>
    <xf numFmtId="1" fontId="0" fillId="0" borderId="0" xfId="0" applyNumberFormat="1" applyFont="1" applyFill="1"/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3CEF0-8951-B849-A03B-BD1555037D3D}">
  <dimension ref="A1:M21"/>
  <sheetViews>
    <sheetView zoomScale="130" zoomScaleNormal="130" workbookViewId="0">
      <selection activeCell="G10" sqref="G10"/>
    </sheetView>
  </sheetViews>
  <sheetFormatPr baseColWidth="10" defaultRowHeight="16" x14ac:dyDescent="0.2"/>
  <cols>
    <col min="1" max="3" width="10.83203125" style="10"/>
    <col min="4" max="4" width="9.83203125" style="10" customWidth="1"/>
    <col min="5" max="5" width="10.83203125" style="10"/>
    <col min="6" max="6" width="12.1640625" style="10" customWidth="1"/>
    <col min="7" max="16384" width="10.83203125" style="10"/>
  </cols>
  <sheetData>
    <row r="1" spans="1:13" x14ac:dyDescent="0.2">
      <c r="A1" s="10" t="s">
        <v>25</v>
      </c>
    </row>
    <row r="3" spans="1:13" x14ac:dyDescent="0.2">
      <c r="A3" s="10" t="s">
        <v>12</v>
      </c>
      <c r="J3" s="11"/>
      <c r="K3" s="12"/>
    </row>
    <row r="4" spans="1:13" x14ac:dyDescent="0.2">
      <c r="K4" s="23"/>
      <c r="L4" s="22"/>
    </row>
    <row r="5" spans="1:13" x14ac:dyDescent="0.2">
      <c r="A5" s="10" t="s">
        <v>9</v>
      </c>
      <c r="B5" s="10" t="s">
        <v>3</v>
      </c>
      <c r="C5" s="10" t="s">
        <v>4</v>
      </c>
      <c r="D5" s="10" t="s">
        <v>0</v>
      </c>
      <c r="E5" s="10" t="s">
        <v>39</v>
      </c>
      <c r="F5" s="10" t="s">
        <v>40</v>
      </c>
      <c r="G5" s="26" t="s">
        <v>27</v>
      </c>
      <c r="K5" s="22"/>
      <c r="L5" s="22"/>
    </row>
    <row r="6" spans="1:13" x14ac:dyDescent="0.2">
      <c r="A6" s="10" t="s">
        <v>10</v>
      </c>
      <c r="B6" s="10">
        <v>1622</v>
      </c>
      <c r="C6" s="10">
        <f>8816-B6</f>
        <v>7194</v>
      </c>
      <c r="D6" s="12">
        <f>($B6/($B6+$C6))/($B7/($B7+$C7))</f>
        <v>3.2281028136821757</v>
      </c>
      <c r="E6" s="12">
        <v>3.0709522796320146</v>
      </c>
      <c r="F6" s="12">
        <v>3.3932952474766114</v>
      </c>
      <c r="G6" s="27" t="s">
        <v>32</v>
      </c>
      <c r="K6" s="23"/>
      <c r="L6" s="22"/>
    </row>
    <row r="7" spans="1:13" x14ac:dyDescent="0.2">
      <c r="A7" s="10" t="s">
        <v>11</v>
      </c>
      <c r="B7" s="10">
        <v>6492</v>
      </c>
      <c r="C7" s="10">
        <f>113906-B7</f>
        <v>107414</v>
      </c>
      <c r="D7" s="13">
        <f>SUM(B6:C7)</f>
        <v>122722</v>
      </c>
      <c r="I7" s="23"/>
      <c r="J7" s="22"/>
      <c r="K7" s="22"/>
      <c r="L7" s="22"/>
    </row>
    <row r="8" spans="1:13" x14ac:dyDescent="0.2">
      <c r="I8" s="22"/>
      <c r="J8" s="22"/>
      <c r="K8" s="22"/>
      <c r="L8" s="22"/>
    </row>
    <row r="9" spans="1:13" x14ac:dyDescent="0.2">
      <c r="A9" s="10" t="s">
        <v>6</v>
      </c>
      <c r="I9" t="s">
        <v>28</v>
      </c>
      <c r="J9" s="2"/>
      <c r="K9" s="23"/>
      <c r="L9" s="22"/>
      <c r="M9" s="5"/>
    </row>
    <row r="10" spans="1:13" x14ac:dyDescent="0.2">
      <c r="A10" s="10" t="s">
        <v>10</v>
      </c>
      <c r="B10" s="10">
        <v>2300</v>
      </c>
      <c r="C10" s="10">
        <f>8877-B10</f>
        <v>6577</v>
      </c>
      <c r="D10" s="12">
        <f>($B10/($B10+$C10))/($B11/($B11+$C11))</f>
        <v>2.0241970811381429</v>
      </c>
      <c r="E10" s="12">
        <v>1.940323792628915</v>
      </c>
      <c r="F10" s="12">
        <v>2.1116959132561623</v>
      </c>
      <c r="G10" s="27" t="s">
        <v>32</v>
      </c>
      <c r="I10" s="18" t="s">
        <v>26</v>
      </c>
      <c r="J10" s="19">
        <v>197.68100000000001</v>
      </c>
      <c r="K10" s="22"/>
      <c r="L10" s="22"/>
    </row>
    <row r="11" spans="1:13" x14ac:dyDescent="0.2">
      <c r="A11" s="10" t="s">
        <v>11</v>
      </c>
      <c r="B11" s="10">
        <v>6054</v>
      </c>
      <c r="C11" s="10">
        <f>47297-B11</f>
        <v>41243</v>
      </c>
      <c r="D11" s="13">
        <f>SUM(B10:C11)</f>
        <v>56174</v>
      </c>
      <c r="I11" s="6" t="s">
        <v>27</v>
      </c>
      <c r="J11" s="6" t="s">
        <v>32</v>
      </c>
      <c r="K11" s="22"/>
      <c r="L11" s="22"/>
    </row>
    <row r="12" spans="1:13" x14ac:dyDescent="0.2">
      <c r="C12" s="10" t="s">
        <v>13</v>
      </c>
      <c r="I12" s="22"/>
      <c r="J12" s="22"/>
      <c r="K12" s="22"/>
      <c r="L12" s="22"/>
    </row>
    <row r="13" spans="1:13" x14ac:dyDescent="0.2">
      <c r="A13" s="10" t="s">
        <v>16</v>
      </c>
      <c r="I13" s="22"/>
      <c r="J13" s="22"/>
      <c r="K13" s="23"/>
      <c r="L13" s="22"/>
      <c r="M13" s="5"/>
    </row>
    <row r="14" spans="1:13" x14ac:dyDescent="0.2">
      <c r="A14" s="10" t="s">
        <v>10</v>
      </c>
      <c r="B14" s="10">
        <f>B6+B10</f>
        <v>3922</v>
      </c>
      <c r="C14" s="10">
        <f>C6+C10</f>
        <v>13771</v>
      </c>
      <c r="D14" s="12">
        <f>($B14/($B14+$C14))/($B15/($B15+$C15))</f>
        <v>2.8482227329612524</v>
      </c>
      <c r="E14" s="12">
        <v>2.75763293329867</v>
      </c>
      <c r="F14" s="12">
        <v>2.941788458717483</v>
      </c>
      <c r="G14" s="12"/>
      <c r="I14" s="22"/>
      <c r="J14" s="22"/>
      <c r="K14" s="22"/>
      <c r="L14" s="22"/>
    </row>
    <row r="15" spans="1:13" x14ac:dyDescent="0.2">
      <c r="A15" s="10" t="s">
        <v>11</v>
      </c>
      <c r="B15" s="10">
        <f>B7+B11</f>
        <v>12546</v>
      </c>
      <c r="C15" s="10">
        <f>C7+C11</f>
        <v>148657</v>
      </c>
      <c r="D15" s="13">
        <f>SUM(B14:C15)</f>
        <v>178896</v>
      </c>
      <c r="I15" s="22"/>
      <c r="J15" s="22"/>
      <c r="K15" s="22"/>
      <c r="L15" s="22"/>
    </row>
    <row r="16" spans="1:13" x14ac:dyDescent="0.2">
      <c r="I16" s="22"/>
      <c r="J16" s="22"/>
      <c r="K16" s="22"/>
      <c r="L16" s="22"/>
    </row>
    <row r="17" spans="4:13" x14ac:dyDescent="0.2">
      <c r="I17" s="22"/>
      <c r="J17" s="22"/>
      <c r="K17" s="23"/>
      <c r="L17" s="22"/>
      <c r="M17" s="5"/>
    </row>
    <row r="18" spans="4:13" x14ac:dyDescent="0.2">
      <c r="D18" s="25"/>
      <c r="E18" s="12"/>
      <c r="F18" s="12"/>
      <c r="G18" s="12"/>
      <c r="I18" s="22"/>
      <c r="J18" s="22"/>
      <c r="K18" s="22"/>
      <c r="L18" s="22"/>
    </row>
    <row r="19" spans="4:13" x14ac:dyDescent="0.2">
      <c r="D19" s="22"/>
      <c r="I19" s="22"/>
      <c r="J19" s="22"/>
      <c r="K19" s="22"/>
      <c r="L19" s="22"/>
    </row>
    <row r="20" spans="4:13" x14ac:dyDescent="0.2">
      <c r="I20" s="22"/>
      <c r="J20" s="22"/>
      <c r="K20" s="22"/>
      <c r="L20" s="22"/>
    </row>
    <row r="21" spans="4:13" x14ac:dyDescent="0.2">
      <c r="I21" s="22"/>
      <c r="J21" s="22"/>
      <c r="K21" s="22"/>
      <c r="L21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EE92-3C26-DB4F-8CF0-BA843531A945}">
  <dimension ref="A1:M21"/>
  <sheetViews>
    <sheetView zoomScale="130" zoomScaleNormal="130" workbookViewId="0">
      <selection activeCell="G5" sqref="G5:G6"/>
    </sheetView>
  </sheetViews>
  <sheetFormatPr baseColWidth="10" defaultRowHeight="16" x14ac:dyDescent="0.2"/>
  <cols>
    <col min="4" max="4" width="9.83203125" customWidth="1"/>
  </cols>
  <sheetData>
    <row r="1" spans="1:13" x14ac:dyDescent="0.2">
      <c r="A1" s="10" t="s">
        <v>25</v>
      </c>
    </row>
    <row r="3" spans="1:13" x14ac:dyDescent="0.2">
      <c r="A3" t="s">
        <v>14</v>
      </c>
      <c r="J3" s="2"/>
      <c r="K3" s="1"/>
    </row>
    <row r="4" spans="1:13" x14ac:dyDescent="0.2">
      <c r="J4" s="2"/>
      <c r="K4" s="1"/>
    </row>
    <row r="5" spans="1:13" x14ac:dyDescent="0.2">
      <c r="A5" t="s">
        <v>9</v>
      </c>
      <c r="B5" t="s">
        <v>3</v>
      </c>
      <c r="C5" t="s">
        <v>4</v>
      </c>
      <c r="D5" t="s">
        <v>0</v>
      </c>
      <c r="E5" t="s">
        <v>1</v>
      </c>
      <c r="F5" t="s">
        <v>2</v>
      </c>
      <c r="G5" s="28" t="s">
        <v>27</v>
      </c>
    </row>
    <row r="6" spans="1:13" x14ac:dyDescent="0.2">
      <c r="A6" t="s">
        <v>10</v>
      </c>
      <c r="B6">
        <v>15</v>
      </c>
      <c r="C6">
        <f>55-B6</f>
        <v>40</v>
      </c>
      <c r="D6" s="12">
        <f>($B6/($B6+$C6))/($B7/($B7+$C7))</f>
        <v>3.6510263929618763</v>
      </c>
      <c r="E6" s="1">
        <v>2.1094809474646428</v>
      </c>
      <c r="F6" s="1">
        <v>6.319087042774834</v>
      </c>
      <c r="G6" s="27" t="s">
        <v>32</v>
      </c>
      <c r="K6" s="1"/>
    </row>
    <row r="7" spans="1:13" x14ac:dyDescent="0.2">
      <c r="A7" t="s">
        <v>11</v>
      </c>
      <c r="B7">
        <v>31</v>
      </c>
      <c r="C7">
        <f>415-B7</f>
        <v>384</v>
      </c>
      <c r="D7" s="4">
        <f>SUM(B6:C7)</f>
        <v>470</v>
      </c>
      <c r="G7" s="26"/>
    </row>
    <row r="8" spans="1:13" x14ac:dyDescent="0.2">
      <c r="G8" s="26"/>
    </row>
    <row r="9" spans="1:13" x14ac:dyDescent="0.2">
      <c r="A9" s="10" t="s">
        <v>6</v>
      </c>
      <c r="B9" s="10"/>
      <c r="C9" s="10"/>
      <c r="D9" s="10"/>
      <c r="E9" s="10"/>
      <c r="F9" s="10"/>
      <c r="G9" s="26"/>
      <c r="I9" t="s">
        <v>28</v>
      </c>
      <c r="J9" s="2"/>
      <c r="K9" s="21"/>
      <c r="M9" s="5"/>
    </row>
    <row r="10" spans="1:13" x14ac:dyDescent="0.2">
      <c r="A10" s="10" t="s">
        <v>10</v>
      </c>
      <c r="B10" s="10">
        <v>29</v>
      </c>
      <c r="C10" s="10">
        <f>53-B10</f>
        <v>24</v>
      </c>
      <c r="D10" s="12">
        <f>($B10/($B10+$C10))/($B11/($B11+$C11))</f>
        <v>2.1704402515723271</v>
      </c>
      <c r="E10" s="12">
        <v>1.562820425989663</v>
      </c>
      <c r="F10" s="12">
        <v>3.0143008162068301</v>
      </c>
      <c r="G10" s="27" t="s">
        <v>32</v>
      </c>
      <c r="I10" s="18" t="s">
        <v>26</v>
      </c>
      <c r="J10" s="19">
        <v>2.54</v>
      </c>
      <c r="K10" s="20"/>
    </row>
    <row r="11" spans="1:13" x14ac:dyDescent="0.2">
      <c r="A11" s="10" t="s">
        <v>11</v>
      </c>
      <c r="B11" s="10">
        <v>60</v>
      </c>
      <c r="C11" s="10">
        <f>238-B11</f>
        <v>178</v>
      </c>
      <c r="D11" s="13">
        <f>SUM(B10:C11)</f>
        <v>291</v>
      </c>
      <c r="E11" s="10"/>
      <c r="F11" s="10"/>
      <c r="G11" s="10"/>
      <c r="I11" s="6" t="s">
        <v>27</v>
      </c>
      <c r="J11" s="6" t="s">
        <v>30</v>
      </c>
      <c r="K11" s="20"/>
    </row>
    <row r="12" spans="1:13" x14ac:dyDescent="0.2">
      <c r="A12" s="10"/>
      <c r="B12" s="10"/>
      <c r="C12" s="10" t="s">
        <v>13</v>
      </c>
      <c r="D12" s="10"/>
      <c r="E12" s="10"/>
      <c r="F12" s="10"/>
      <c r="G12" s="10"/>
      <c r="J12" s="24"/>
      <c r="K12" s="20"/>
    </row>
    <row r="13" spans="1:13" x14ac:dyDescent="0.2">
      <c r="A13" s="10" t="s">
        <v>16</v>
      </c>
      <c r="B13" s="10"/>
      <c r="C13" s="10"/>
      <c r="D13" s="10"/>
      <c r="E13" s="10"/>
      <c r="F13" s="10"/>
      <c r="G13" s="10"/>
      <c r="J13" s="20"/>
      <c r="K13" s="21"/>
      <c r="M13" s="5"/>
    </row>
    <row r="14" spans="1:13" x14ac:dyDescent="0.2">
      <c r="A14" s="10" t="s">
        <v>10</v>
      </c>
      <c r="B14" s="8">
        <f>B6+B10</f>
        <v>44</v>
      </c>
      <c r="C14" s="8">
        <f>C6+C10</f>
        <v>64</v>
      </c>
      <c r="D14" s="12">
        <f>($B14/($B14+$C14))/($B15/($B15+$C15))</f>
        <v>2.9234839234839232</v>
      </c>
      <c r="E14" s="12">
        <v>2.1727817719243521</v>
      </c>
      <c r="F14" s="12">
        <v>3.9335557584779473</v>
      </c>
      <c r="G14" s="12"/>
      <c r="J14" s="20"/>
      <c r="K14" s="20"/>
    </row>
    <row r="15" spans="1:13" x14ac:dyDescent="0.2">
      <c r="A15" s="10" t="s">
        <v>11</v>
      </c>
      <c r="B15" s="8">
        <f>B7+B11</f>
        <v>91</v>
      </c>
      <c r="C15" s="8">
        <f>C7+C11</f>
        <v>562</v>
      </c>
      <c r="D15" s="14">
        <f>SUM(B14:C15)</f>
        <v>761</v>
      </c>
      <c r="E15" s="10"/>
      <c r="F15" s="10"/>
      <c r="G15" s="10"/>
      <c r="J15" s="20"/>
      <c r="K15" s="20"/>
    </row>
    <row r="16" spans="1:13" x14ac:dyDescent="0.2">
      <c r="J16" s="20"/>
      <c r="K16" s="20"/>
    </row>
    <row r="17" spans="4:13" x14ac:dyDescent="0.2">
      <c r="J17" s="20"/>
      <c r="K17" s="21"/>
      <c r="M17" s="5"/>
    </row>
    <row r="18" spans="4:13" x14ac:dyDescent="0.2">
      <c r="D18" s="9"/>
      <c r="E18" s="1"/>
      <c r="F18" s="1"/>
      <c r="G18" s="1"/>
      <c r="J18" s="20"/>
      <c r="K18" s="20"/>
    </row>
    <row r="19" spans="4:13" x14ac:dyDescent="0.2">
      <c r="D19" s="20"/>
      <c r="J19" s="20"/>
      <c r="K19" s="20"/>
    </row>
    <row r="20" spans="4:13" x14ac:dyDescent="0.2">
      <c r="J20" s="20"/>
      <c r="K20" s="20"/>
    </row>
    <row r="21" spans="4:13" x14ac:dyDescent="0.2">
      <c r="J21" s="20"/>
      <c r="K21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C153-BE7B-A84C-B4AE-09B60FEA9F11}">
  <dimension ref="A1:M25"/>
  <sheetViews>
    <sheetView zoomScale="130" zoomScaleNormal="130" workbookViewId="0">
      <selection activeCell="G6" sqref="G6"/>
    </sheetView>
  </sheetViews>
  <sheetFormatPr baseColWidth="10" defaultRowHeight="16" x14ac:dyDescent="0.2"/>
  <cols>
    <col min="1" max="3" width="10.83203125" style="10"/>
    <col min="4" max="4" width="9.83203125" style="10" customWidth="1"/>
    <col min="5" max="16384" width="10.83203125" style="10"/>
  </cols>
  <sheetData>
    <row r="1" spans="1:13" x14ac:dyDescent="0.2">
      <c r="A1" s="10" t="s">
        <v>25</v>
      </c>
    </row>
    <row r="3" spans="1:13" x14ac:dyDescent="0.2">
      <c r="A3" s="10" t="s">
        <v>5</v>
      </c>
      <c r="K3" s="12"/>
    </row>
    <row r="4" spans="1:13" x14ac:dyDescent="0.2">
      <c r="A4" s="10" t="s">
        <v>24</v>
      </c>
      <c r="J4" s="11"/>
      <c r="K4" s="12"/>
    </row>
    <row r="5" spans="1:13" x14ac:dyDescent="0.2">
      <c r="A5" s="10" t="s">
        <v>9</v>
      </c>
      <c r="B5" s="10" t="s">
        <v>3</v>
      </c>
      <c r="C5" s="10" t="s">
        <v>4</v>
      </c>
      <c r="D5" s="10" t="s">
        <v>0</v>
      </c>
      <c r="E5" s="10" t="s">
        <v>1</v>
      </c>
      <c r="F5" s="10" t="s">
        <v>2</v>
      </c>
      <c r="G5" s="28" t="s">
        <v>27</v>
      </c>
    </row>
    <row r="6" spans="1:13" x14ac:dyDescent="0.2">
      <c r="A6" s="10" t="s">
        <v>10</v>
      </c>
      <c r="B6" s="10">
        <v>449</v>
      </c>
      <c r="C6" s="10">
        <v>1301</v>
      </c>
      <c r="D6" s="12">
        <f>($B6/($B6+$C6))/($B7/($B7+$C7))</f>
        <v>4.8737024559598821</v>
      </c>
      <c r="E6" s="12">
        <v>4.4180059611001541</v>
      </c>
      <c r="F6" s="12">
        <v>5.3764018967766418</v>
      </c>
      <c r="G6" s="27" t="s">
        <v>32</v>
      </c>
      <c r="K6" s="12"/>
    </row>
    <row r="7" spans="1:13" x14ac:dyDescent="0.2">
      <c r="A7" s="10" t="s">
        <v>11</v>
      </c>
      <c r="B7" s="10">
        <v>1111</v>
      </c>
      <c r="C7" s="10">
        <v>19993</v>
      </c>
      <c r="D7" s="13">
        <f>SUM(B6:C7)</f>
        <v>22854</v>
      </c>
    </row>
    <row r="9" spans="1:13" x14ac:dyDescent="0.2">
      <c r="A9" s="10" t="s">
        <v>6</v>
      </c>
      <c r="I9" s="22"/>
      <c r="J9" s="22"/>
      <c r="K9" s="23"/>
      <c r="L9" s="22"/>
      <c r="M9" s="5"/>
    </row>
    <row r="10" spans="1:13" x14ac:dyDescent="0.2">
      <c r="A10" s="10" t="s">
        <v>10</v>
      </c>
      <c r="B10" s="10">
        <v>5</v>
      </c>
      <c r="C10" s="10">
        <v>7</v>
      </c>
      <c r="D10" s="12">
        <f>($B10/($B10+$C10))/($B11/($B11+$C11))</f>
        <v>5.7738095238095246</v>
      </c>
      <c r="E10" s="12">
        <v>2.1703160934791823</v>
      </c>
      <c r="F10" s="12">
        <v>15.360378387920452</v>
      </c>
      <c r="G10" s="27" t="s">
        <v>32</v>
      </c>
      <c r="I10" t="s">
        <v>28</v>
      </c>
      <c r="J10" s="2"/>
      <c r="K10" s="22"/>
      <c r="L10" s="22"/>
    </row>
    <row r="11" spans="1:13" x14ac:dyDescent="0.2">
      <c r="A11" s="10" t="s">
        <v>11</v>
      </c>
      <c r="B11" s="10">
        <v>7</v>
      </c>
      <c r="C11" s="10">
        <v>90</v>
      </c>
      <c r="D11" s="13">
        <f>SUM(B10:C11)</f>
        <v>109</v>
      </c>
      <c r="I11" s="18" t="s">
        <v>26</v>
      </c>
      <c r="J11" s="19">
        <v>0.11</v>
      </c>
      <c r="K11" s="22"/>
      <c r="L11" s="22"/>
    </row>
    <row r="12" spans="1:13" x14ac:dyDescent="0.2">
      <c r="I12" s="6" t="s">
        <v>27</v>
      </c>
      <c r="J12" s="6" t="s">
        <v>31</v>
      </c>
      <c r="K12" s="22"/>
      <c r="L12" s="22"/>
    </row>
    <row r="13" spans="1:13" x14ac:dyDescent="0.2">
      <c r="A13" s="10" t="s">
        <v>7</v>
      </c>
      <c r="I13" s="22"/>
      <c r="J13" s="22"/>
      <c r="K13" s="23"/>
      <c r="L13" s="22"/>
      <c r="M13" s="5"/>
    </row>
    <row r="14" spans="1:13" x14ac:dyDescent="0.2">
      <c r="A14" s="10" t="s">
        <v>10</v>
      </c>
      <c r="B14" s="10">
        <v>44</v>
      </c>
      <c r="C14" s="10">
        <v>140</v>
      </c>
      <c r="D14" s="12">
        <f>($B14/($B14+$C14))/($B15/($B15+$C15))</f>
        <v>3.8260869565217392</v>
      </c>
      <c r="E14" s="12">
        <v>2.811164817437855</v>
      </c>
      <c r="F14" s="12">
        <v>5.2074290728382024</v>
      </c>
      <c r="G14" s="27" t="s">
        <v>32</v>
      </c>
      <c r="I14" t="s">
        <v>28</v>
      </c>
      <c r="J14" s="2"/>
      <c r="K14" s="22"/>
      <c r="L14" s="22"/>
    </row>
    <row r="15" spans="1:13" x14ac:dyDescent="0.2">
      <c r="A15" s="10" t="s">
        <v>11</v>
      </c>
      <c r="B15" s="10">
        <v>126</v>
      </c>
      <c r="C15" s="10">
        <v>1890</v>
      </c>
      <c r="D15" s="13">
        <f>SUM(B14:C15)</f>
        <v>2200</v>
      </c>
      <c r="I15" s="18" t="s">
        <v>26</v>
      </c>
      <c r="J15" s="19">
        <v>2.12</v>
      </c>
      <c r="K15" s="22"/>
      <c r="L15" s="22"/>
    </row>
    <row r="16" spans="1:13" x14ac:dyDescent="0.2">
      <c r="I16" s="6" t="s">
        <v>27</v>
      </c>
      <c r="J16" s="6" t="s">
        <v>35</v>
      </c>
      <c r="K16" s="22"/>
      <c r="L16" s="22"/>
    </row>
    <row r="17" spans="1:13" x14ac:dyDescent="0.2">
      <c r="A17" s="10" t="s">
        <v>8</v>
      </c>
      <c r="I17" s="22"/>
      <c r="J17" s="22"/>
      <c r="K17" s="23"/>
      <c r="L17" s="22"/>
      <c r="M17" s="5"/>
    </row>
    <row r="18" spans="1:13" x14ac:dyDescent="0.2">
      <c r="A18" s="10" t="s">
        <v>10</v>
      </c>
      <c r="B18" s="10">
        <v>6</v>
      </c>
      <c r="C18" s="10">
        <v>37</v>
      </c>
      <c r="D18" s="12">
        <f>($B18/($B18+$C18))/($B19/($B19+$C19))</f>
        <v>1.8139534883720929</v>
      </c>
      <c r="E18" s="12">
        <v>0.81527614453476904</v>
      </c>
      <c r="F18" s="12">
        <v>4.0359665618021259</v>
      </c>
      <c r="G18" s="27" t="s">
        <v>41</v>
      </c>
      <c r="I18" t="s">
        <v>28</v>
      </c>
      <c r="J18" s="2"/>
      <c r="K18" s="22"/>
      <c r="L18" s="22"/>
    </row>
    <row r="19" spans="1:13" x14ac:dyDescent="0.2">
      <c r="A19" s="10" t="s">
        <v>11</v>
      </c>
      <c r="B19" s="10">
        <v>40</v>
      </c>
      <c r="C19" s="10">
        <v>480</v>
      </c>
      <c r="D19" s="13">
        <f>SUM(B18:C19)</f>
        <v>563</v>
      </c>
      <c r="I19" s="18" t="s">
        <v>26</v>
      </c>
      <c r="J19" s="19">
        <v>5.8</v>
      </c>
    </row>
    <row r="20" spans="1:13" x14ac:dyDescent="0.2">
      <c r="I20" s="6" t="s">
        <v>27</v>
      </c>
      <c r="J20" s="6" t="s">
        <v>34</v>
      </c>
    </row>
    <row r="21" spans="1:13" x14ac:dyDescent="0.2">
      <c r="A21" s="10" t="s">
        <v>16</v>
      </c>
    </row>
    <row r="22" spans="1:13" x14ac:dyDescent="0.2">
      <c r="A22" s="10" t="s">
        <v>10</v>
      </c>
      <c r="B22" s="10">
        <f>SUM(B6,B10,B14,B18)</f>
        <v>504</v>
      </c>
      <c r="C22" s="10">
        <f>SUM(C6,C10,C14,C18)</f>
        <v>1485</v>
      </c>
      <c r="D22" s="12">
        <f>($B22/($B22+$C22))/($B23/($B23+$C23))</f>
        <v>4.6844279048787021</v>
      </c>
      <c r="E22" s="12">
        <v>4.2713728843168077</v>
      </c>
      <c r="F22" s="12">
        <v>5.1374266284682184</v>
      </c>
      <c r="G22" s="12"/>
    </row>
    <row r="23" spans="1:13" x14ac:dyDescent="0.2">
      <c r="A23" s="10" t="s">
        <v>11</v>
      </c>
      <c r="B23" s="10">
        <f>SUM(B7,B11,B15,B19)</f>
        <v>1284</v>
      </c>
      <c r="C23" s="10">
        <f>SUM(C7,C11,C15,C19)</f>
        <v>22453</v>
      </c>
      <c r="D23" s="13">
        <f>SUM(B22:C23)</f>
        <v>25726</v>
      </c>
    </row>
    <row r="25" spans="1:13" x14ac:dyDescent="0.2">
      <c r="D25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B6A6-E8D4-B147-9285-C952A4FD7E36}">
  <dimension ref="A1:M19"/>
  <sheetViews>
    <sheetView zoomScale="130" zoomScaleNormal="130" workbookViewId="0">
      <selection activeCell="G6" sqref="G6"/>
    </sheetView>
  </sheetViews>
  <sheetFormatPr baseColWidth="10" defaultRowHeight="16" x14ac:dyDescent="0.2"/>
  <cols>
    <col min="1" max="3" width="10.83203125" style="10"/>
    <col min="4" max="4" width="9.83203125" style="10" customWidth="1"/>
    <col min="5" max="16384" width="10.83203125" style="10"/>
  </cols>
  <sheetData>
    <row r="1" spans="1:13" x14ac:dyDescent="0.2">
      <c r="A1" s="10" t="s">
        <v>25</v>
      </c>
    </row>
    <row r="3" spans="1:13" x14ac:dyDescent="0.2">
      <c r="A3" s="10" t="s">
        <v>15</v>
      </c>
      <c r="J3" s="11"/>
      <c r="K3" s="12"/>
    </row>
    <row r="4" spans="1:13" x14ac:dyDescent="0.2">
      <c r="J4" s="11"/>
      <c r="K4" s="12"/>
    </row>
    <row r="5" spans="1:13" x14ac:dyDescent="0.2">
      <c r="A5" s="10" t="s">
        <v>9</v>
      </c>
      <c r="B5" s="10" t="s">
        <v>3</v>
      </c>
      <c r="C5" s="10" t="s">
        <v>4</v>
      </c>
      <c r="D5" s="10" t="s">
        <v>0</v>
      </c>
      <c r="E5" s="10" t="s">
        <v>1</v>
      </c>
      <c r="F5" s="10" t="s">
        <v>2</v>
      </c>
      <c r="G5" s="26" t="s">
        <v>27</v>
      </c>
    </row>
    <row r="6" spans="1:13" x14ac:dyDescent="0.2">
      <c r="A6" s="10" t="s">
        <v>10</v>
      </c>
      <c r="B6" s="8">
        <f>0.55*305</f>
        <v>167.75</v>
      </c>
      <c r="C6" s="8">
        <f>0.72*1084</f>
        <v>780.48</v>
      </c>
      <c r="D6" s="12">
        <f>($B6/($B6+$C6))/($B7/($B7+$C7))</f>
        <v>3.9211143352460112</v>
      </c>
      <c r="E6" s="12">
        <v>3.3517615444143463</v>
      </c>
      <c r="F6" s="12">
        <v>4.5871812258524693</v>
      </c>
      <c r="G6" s="27" t="s">
        <v>32</v>
      </c>
      <c r="K6" s="12"/>
    </row>
    <row r="7" spans="1:13" x14ac:dyDescent="0.2">
      <c r="A7" s="10" t="s">
        <v>11</v>
      </c>
      <c r="B7" s="8">
        <f>0.63*1010</f>
        <v>636.29999999999995</v>
      </c>
      <c r="C7" s="10">
        <f>0.81*16626</f>
        <v>13467.060000000001</v>
      </c>
      <c r="D7" s="16">
        <f>SUM(B6:C7)</f>
        <v>15051.590000000002</v>
      </c>
    </row>
    <row r="9" spans="1:13" x14ac:dyDescent="0.2">
      <c r="A9" s="10" t="s">
        <v>6</v>
      </c>
      <c r="I9" t="s">
        <v>28</v>
      </c>
      <c r="J9" s="2"/>
      <c r="K9" s="23"/>
      <c r="L9" s="22"/>
      <c r="M9" s="5"/>
    </row>
    <row r="10" spans="1:13" x14ac:dyDescent="0.2">
      <c r="A10" s="10" t="s">
        <v>10</v>
      </c>
      <c r="B10" s="8">
        <f>0.43*305</f>
        <v>131.15</v>
      </c>
      <c r="C10" s="8">
        <f>0.26*1084</f>
        <v>281.84000000000003</v>
      </c>
      <c r="D10" s="12">
        <f>($B10/($B10+$C10))/($B11/($B11+$C11))</f>
        <v>2.8566401445449414</v>
      </c>
      <c r="E10" s="12">
        <v>2.4047774852621511</v>
      </c>
      <c r="F10" s="12">
        <v>3.3934087313430399</v>
      </c>
      <c r="G10" s="27" t="s">
        <v>32</v>
      </c>
      <c r="I10" s="18" t="s">
        <v>26</v>
      </c>
      <c r="J10" s="19">
        <v>7.31</v>
      </c>
      <c r="K10" s="22"/>
      <c r="L10" s="22"/>
    </row>
    <row r="11" spans="1:13" x14ac:dyDescent="0.2">
      <c r="A11" s="10" t="s">
        <v>11</v>
      </c>
      <c r="B11" s="8">
        <f>0.35*1010</f>
        <v>353.5</v>
      </c>
      <c r="C11" s="8">
        <f>0.17*16626</f>
        <v>2826.42</v>
      </c>
      <c r="D11" s="14">
        <f>SUM(B10:C11)</f>
        <v>3592.91</v>
      </c>
      <c r="I11" s="6" t="s">
        <v>27</v>
      </c>
      <c r="J11" s="6" t="s">
        <v>33</v>
      </c>
      <c r="K11" s="22"/>
      <c r="L11" s="22"/>
    </row>
    <row r="12" spans="1:13" x14ac:dyDescent="0.2">
      <c r="C12" s="10" t="s">
        <v>13</v>
      </c>
      <c r="I12" s="22"/>
      <c r="J12" s="22"/>
      <c r="K12" s="22"/>
      <c r="L12" s="22"/>
    </row>
    <row r="13" spans="1:13" x14ac:dyDescent="0.2">
      <c r="A13" s="10" t="s">
        <v>16</v>
      </c>
      <c r="I13" s="22"/>
      <c r="J13" s="22"/>
      <c r="K13" s="23"/>
      <c r="L13" s="22"/>
      <c r="M13" s="5"/>
    </row>
    <row r="14" spans="1:13" x14ac:dyDescent="0.2">
      <c r="A14" s="10" t="s">
        <v>10</v>
      </c>
      <c r="B14" s="8">
        <v>305</v>
      </c>
      <c r="C14" s="8">
        <v>1084</v>
      </c>
      <c r="D14" s="12">
        <f>($B14/($B14+$C14))/($B15/($B15+$C15))</f>
        <v>3.8342136589468878</v>
      </c>
      <c r="E14" s="12">
        <v>3.4148700255290438</v>
      </c>
      <c r="F14" s="12">
        <v>4.305052395128075</v>
      </c>
      <c r="G14" s="12"/>
      <c r="I14" s="22"/>
      <c r="J14" s="22"/>
      <c r="K14" s="22"/>
      <c r="L14" s="22"/>
    </row>
    <row r="15" spans="1:13" x14ac:dyDescent="0.2">
      <c r="A15" s="10" t="s">
        <v>11</v>
      </c>
      <c r="B15" s="8">
        <v>1010</v>
      </c>
      <c r="C15" s="8">
        <v>16626</v>
      </c>
      <c r="D15" s="14">
        <f>SUM(B14:C15)</f>
        <v>19025</v>
      </c>
      <c r="I15" s="22"/>
      <c r="J15" s="22"/>
      <c r="K15" s="22"/>
      <c r="L15" s="22"/>
    </row>
    <row r="16" spans="1:13" x14ac:dyDescent="0.2">
      <c r="I16" s="22"/>
      <c r="J16" s="22"/>
      <c r="K16" s="22"/>
      <c r="L16" s="22"/>
    </row>
    <row r="17" spans="4:13" x14ac:dyDescent="0.2">
      <c r="I17" s="22"/>
      <c r="J17" s="22"/>
      <c r="K17" s="23"/>
      <c r="L17" s="22"/>
      <c r="M17" s="5"/>
    </row>
    <row r="18" spans="4:13" x14ac:dyDescent="0.2">
      <c r="D18" s="12"/>
      <c r="E18" s="12"/>
      <c r="F18" s="12"/>
      <c r="G18" s="12"/>
      <c r="I18" s="22"/>
      <c r="J18" s="22"/>
      <c r="K18" s="22"/>
      <c r="L18" s="22"/>
    </row>
    <row r="19" spans="4:13" x14ac:dyDescent="0.2">
      <c r="D19" s="22"/>
      <c r="I19" s="22"/>
      <c r="J19" s="22"/>
      <c r="K19" s="22"/>
      <c r="L19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6891-1E08-5649-95CC-54457CA93894}">
  <dimension ref="A1:N26"/>
  <sheetViews>
    <sheetView topLeftCell="A2" zoomScale="130" zoomScaleNormal="130" workbookViewId="0">
      <selection activeCell="J9" sqref="J9"/>
    </sheetView>
  </sheetViews>
  <sheetFormatPr baseColWidth="10" defaultRowHeight="16" x14ac:dyDescent="0.2"/>
  <cols>
    <col min="1" max="4" width="10.83203125" style="10"/>
    <col min="5" max="5" width="9.83203125" style="10" customWidth="1"/>
    <col min="6" max="16384" width="10.83203125" style="10"/>
  </cols>
  <sheetData>
    <row r="1" spans="1:14" x14ac:dyDescent="0.2">
      <c r="A1" s="10" t="s">
        <v>25</v>
      </c>
    </row>
    <row r="3" spans="1:14" x14ac:dyDescent="0.2">
      <c r="A3" s="10" t="s">
        <v>22</v>
      </c>
      <c r="K3" s="11"/>
      <c r="L3" s="12"/>
    </row>
    <row r="4" spans="1:14" x14ac:dyDescent="0.2">
      <c r="K4" s="11"/>
      <c r="L4" s="12"/>
    </row>
    <row r="5" spans="1:14" x14ac:dyDescent="0.2">
      <c r="A5" s="10" t="s">
        <v>9</v>
      </c>
      <c r="B5" s="10" t="s">
        <v>18</v>
      </c>
      <c r="C5" s="10" t="s">
        <v>20</v>
      </c>
      <c r="E5" s="10" t="s">
        <v>0</v>
      </c>
      <c r="F5" s="10" t="s">
        <v>1</v>
      </c>
      <c r="G5" s="10" t="s">
        <v>2</v>
      </c>
      <c r="H5" s="26" t="s">
        <v>27</v>
      </c>
    </row>
    <row r="6" spans="1:14" x14ac:dyDescent="0.2">
      <c r="A6" s="10" t="s">
        <v>17</v>
      </c>
      <c r="B6" s="8">
        <f>0.2*D6</f>
        <v>405.40000000000003</v>
      </c>
      <c r="C6" s="8">
        <f>D6-B6</f>
        <v>1621.6</v>
      </c>
      <c r="D6" s="8">
        <v>2027</v>
      </c>
      <c r="E6" s="12">
        <f>($B6/($B6+$C6))/($B7/($B7+$C7))</f>
        <v>4.4444444444444446</v>
      </c>
      <c r="F6" s="12">
        <v>3.9908823077930546</v>
      </c>
      <c r="G6" s="12">
        <v>4.9495537318103677</v>
      </c>
      <c r="H6" s="27" t="s">
        <v>32</v>
      </c>
      <c r="L6" s="12"/>
    </row>
    <row r="7" spans="1:14" x14ac:dyDescent="0.2">
      <c r="A7" s="10" t="s">
        <v>19</v>
      </c>
      <c r="B7" s="8">
        <f>0.045*D7</f>
        <v>915.79499999999996</v>
      </c>
      <c r="C7" s="8">
        <f>D7-B7</f>
        <v>19435.205000000002</v>
      </c>
      <c r="D7" s="8">
        <v>20351</v>
      </c>
      <c r="E7" s="16">
        <f>SUM(B6:C7)</f>
        <v>22378</v>
      </c>
    </row>
    <row r="8" spans="1:14" x14ac:dyDescent="0.2">
      <c r="C8" s="8"/>
      <c r="D8" s="8"/>
    </row>
    <row r="9" spans="1:14" x14ac:dyDescent="0.2">
      <c r="A9" s="10" t="s">
        <v>6</v>
      </c>
      <c r="J9" s="22"/>
      <c r="K9" s="22"/>
      <c r="L9" s="23"/>
      <c r="M9" s="22"/>
      <c r="N9" s="5"/>
    </row>
    <row r="10" spans="1:14" x14ac:dyDescent="0.2">
      <c r="A10" s="10" t="s">
        <v>17</v>
      </c>
      <c r="B10" s="8">
        <f>0.304*D10</f>
        <v>6.992</v>
      </c>
      <c r="C10" s="8">
        <f>D10-B10</f>
        <v>16.007999999999999</v>
      </c>
      <c r="D10" s="8">
        <v>23</v>
      </c>
      <c r="E10" s="12">
        <f>($B10/($B10+$C10))/($B11/($B11+$C11))</f>
        <v>2.5123966942148761</v>
      </c>
      <c r="F10" s="12">
        <v>1.0762847921859044</v>
      </c>
      <c r="G10" s="12">
        <v>5.8647462037274192</v>
      </c>
      <c r="H10" s="27" t="s">
        <v>42</v>
      </c>
      <c r="J10" t="s">
        <v>28</v>
      </c>
      <c r="K10" s="2"/>
      <c r="L10" s="22"/>
      <c r="M10" s="22"/>
    </row>
    <row r="11" spans="1:14" x14ac:dyDescent="0.2">
      <c r="A11" s="10" t="s">
        <v>19</v>
      </c>
      <c r="B11" s="8">
        <f>0.121*D11</f>
        <v>10.042999999999999</v>
      </c>
      <c r="C11" s="8">
        <f>D11-B11</f>
        <v>72.956999999999994</v>
      </c>
      <c r="D11" s="8">
        <v>83</v>
      </c>
      <c r="E11" s="16">
        <f>SUM(B10:C11)</f>
        <v>106</v>
      </c>
      <c r="J11" s="18" t="s">
        <v>26</v>
      </c>
      <c r="K11" s="19">
        <v>1.66</v>
      </c>
      <c r="L11" s="22"/>
      <c r="M11" s="22"/>
    </row>
    <row r="12" spans="1:14" x14ac:dyDescent="0.2">
      <c r="J12" s="6" t="s">
        <v>27</v>
      </c>
      <c r="K12" s="6" t="s">
        <v>38</v>
      </c>
      <c r="L12" s="22"/>
      <c r="M12" s="22"/>
    </row>
    <row r="13" spans="1:14" x14ac:dyDescent="0.2">
      <c r="A13" s="10" t="s">
        <v>7</v>
      </c>
      <c r="J13" s="22"/>
      <c r="K13" s="22"/>
      <c r="L13" s="23"/>
      <c r="M13" s="22"/>
      <c r="N13" s="5"/>
    </row>
    <row r="14" spans="1:14" x14ac:dyDescent="0.2">
      <c r="A14" s="10" t="s">
        <v>17</v>
      </c>
      <c r="B14" s="8">
        <f>0.242*D14</f>
        <v>60.983999999999995</v>
      </c>
      <c r="C14" s="8">
        <f>D14-B14</f>
        <v>191.01600000000002</v>
      </c>
      <c r="D14" s="8">
        <v>252</v>
      </c>
      <c r="E14" s="12">
        <f>($B14/($B14+$C14))/($B15/($B15+$C15))</f>
        <v>4.1724137931034475</v>
      </c>
      <c r="F14" s="12">
        <v>3.1364398672416449</v>
      </c>
      <c r="G14" s="12">
        <v>5.5505724954932267</v>
      </c>
      <c r="H14" s="27" t="s">
        <v>32</v>
      </c>
      <c r="J14" t="s">
        <v>28</v>
      </c>
      <c r="K14" s="2"/>
      <c r="L14" s="22"/>
      <c r="M14" s="22"/>
    </row>
    <row r="15" spans="1:14" x14ac:dyDescent="0.2">
      <c r="A15" s="10" t="s">
        <v>19</v>
      </c>
      <c r="B15" s="8">
        <f>0.058*D15</f>
        <v>107.358</v>
      </c>
      <c r="C15" s="8">
        <f>D15-B15</f>
        <v>1743.6420000000001</v>
      </c>
      <c r="D15" s="8">
        <v>1851</v>
      </c>
      <c r="E15" s="16">
        <f>SUM(B14:C15)</f>
        <v>2103</v>
      </c>
      <c r="J15" s="18" t="s">
        <v>26</v>
      </c>
      <c r="K15" s="19">
        <v>0.14000000000000001</v>
      </c>
      <c r="L15" s="22"/>
      <c r="M15" s="22"/>
    </row>
    <row r="16" spans="1:14" x14ac:dyDescent="0.2">
      <c r="C16" s="8"/>
      <c r="J16" s="6" t="s">
        <v>27</v>
      </c>
      <c r="K16" s="6" t="s">
        <v>37</v>
      </c>
      <c r="L16" s="22"/>
      <c r="M16" s="22"/>
    </row>
    <row r="17" spans="1:14" x14ac:dyDescent="0.2">
      <c r="A17" s="10" t="s">
        <v>21</v>
      </c>
      <c r="C17" s="8"/>
      <c r="J17" s="22"/>
      <c r="K17" s="22"/>
      <c r="L17" s="23"/>
      <c r="M17" s="22"/>
      <c r="N17" s="17"/>
    </row>
    <row r="18" spans="1:14" x14ac:dyDescent="0.2">
      <c r="A18" s="10" t="s">
        <v>17</v>
      </c>
      <c r="B18" s="8">
        <f>0.176*D18</f>
        <v>13.023999999999999</v>
      </c>
      <c r="C18" s="8">
        <f>D18-B18</f>
        <v>60.975999999999999</v>
      </c>
      <c r="D18" s="8">
        <v>74</v>
      </c>
      <c r="E18" s="12">
        <v>1.32</v>
      </c>
      <c r="F18" s="12">
        <v>1.26</v>
      </c>
      <c r="G18" s="12">
        <v>1.38</v>
      </c>
      <c r="H18" s="27" t="s">
        <v>32</v>
      </c>
      <c r="J18" t="s">
        <v>28</v>
      </c>
      <c r="K18" s="2"/>
      <c r="L18" s="22"/>
      <c r="M18" s="22"/>
    </row>
    <row r="19" spans="1:14" x14ac:dyDescent="0.2">
      <c r="A19" s="10" t="s">
        <v>19</v>
      </c>
      <c r="B19" s="8">
        <f>0.06*D19</f>
        <v>28.08</v>
      </c>
      <c r="C19" s="8">
        <f>D19-B19</f>
        <v>439.92</v>
      </c>
      <c r="D19" s="8">
        <v>468</v>
      </c>
      <c r="E19" s="16">
        <f>SUM(B18:C19)</f>
        <v>542</v>
      </c>
      <c r="J19" s="18" t="s">
        <v>26</v>
      </c>
      <c r="K19" s="19">
        <v>1.7</v>
      </c>
      <c r="L19" s="22"/>
      <c r="M19" s="22"/>
    </row>
    <row r="20" spans="1:14" x14ac:dyDescent="0.2">
      <c r="J20" s="6" t="s">
        <v>27</v>
      </c>
      <c r="K20" s="6" t="s">
        <v>36</v>
      </c>
      <c r="L20" s="22"/>
      <c r="M20" s="22"/>
    </row>
    <row r="21" spans="1:14" x14ac:dyDescent="0.2">
      <c r="J21" s="22"/>
      <c r="K21" s="22"/>
      <c r="L21" s="22"/>
      <c r="M21" s="22"/>
    </row>
    <row r="22" spans="1:14" x14ac:dyDescent="0.2">
      <c r="A22" s="10" t="s">
        <v>16</v>
      </c>
      <c r="J22" s="22"/>
      <c r="K22" s="22"/>
      <c r="L22" s="23"/>
      <c r="M22" s="22"/>
      <c r="N22" s="5"/>
    </row>
    <row r="23" spans="1:14" x14ac:dyDescent="0.2">
      <c r="A23" s="10" t="s">
        <v>17</v>
      </c>
      <c r="B23" s="8">
        <v>484</v>
      </c>
      <c r="C23" s="8">
        <v>1909</v>
      </c>
      <c r="D23" s="8">
        <f>SUM(D18,D14,D10,D6)</f>
        <v>2376</v>
      </c>
      <c r="E23" s="12">
        <f>($B23/($B23+$C23))/($B24/($B24+$C24))</f>
        <v>4.3309825478952781</v>
      </c>
      <c r="F23" s="12">
        <v>3.9234880993843073</v>
      </c>
      <c r="G23" s="12">
        <v>4.7807994710413375</v>
      </c>
      <c r="H23" s="12"/>
      <c r="J23" s="22"/>
      <c r="K23" s="22"/>
      <c r="L23" s="22"/>
      <c r="M23" s="22"/>
    </row>
    <row r="24" spans="1:14" x14ac:dyDescent="0.2">
      <c r="A24" s="10" t="s">
        <v>19</v>
      </c>
      <c r="B24" s="8">
        <v>1067</v>
      </c>
      <c r="C24" s="8">
        <v>21781</v>
      </c>
      <c r="D24" s="8">
        <f>SUM(D7,D11,D15,D19)</f>
        <v>22753</v>
      </c>
      <c r="E24" s="16">
        <f>SUM(B23:C24)</f>
        <v>25241</v>
      </c>
      <c r="J24" s="22"/>
      <c r="K24" s="22"/>
      <c r="L24" s="22"/>
      <c r="M24" s="22"/>
    </row>
    <row r="25" spans="1:14" x14ac:dyDescent="0.2">
      <c r="C25" s="8"/>
      <c r="D25" s="8"/>
      <c r="J25" s="22"/>
      <c r="K25" s="22"/>
      <c r="L25" s="22"/>
      <c r="M25" s="22"/>
    </row>
    <row r="26" spans="1:14" x14ac:dyDescent="0.2">
      <c r="J26" s="22"/>
      <c r="K26" s="22"/>
      <c r="L26" s="23"/>
      <c r="M26" s="22"/>
      <c r="N26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2B77-464E-BA47-B6CD-C36029CEB9C2}">
  <dimension ref="A1:N21"/>
  <sheetViews>
    <sheetView tabSelected="1" zoomScale="130" zoomScaleNormal="130" workbookViewId="0">
      <selection activeCell="H10" sqref="H10"/>
    </sheetView>
  </sheetViews>
  <sheetFormatPr baseColWidth="10" defaultRowHeight="16" x14ac:dyDescent="0.2"/>
  <cols>
    <col min="5" max="5" width="9.83203125" customWidth="1"/>
  </cols>
  <sheetData>
    <row r="1" spans="1:14" x14ac:dyDescent="0.2">
      <c r="A1" s="10" t="s">
        <v>25</v>
      </c>
    </row>
    <row r="3" spans="1:14" x14ac:dyDescent="0.2">
      <c r="A3" t="s">
        <v>23</v>
      </c>
      <c r="K3" s="2"/>
      <c r="L3" s="1"/>
    </row>
    <row r="4" spans="1:14" x14ac:dyDescent="0.2">
      <c r="D4" s="10"/>
      <c r="E4" s="10"/>
      <c r="F4" s="10"/>
      <c r="L4" s="1"/>
    </row>
    <row r="5" spans="1:14" x14ac:dyDescent="0.2">
      <c r="A5" t="s">
        <v>9</v>
      </c>
      <c r="B5" t="s">
        <v>18</v>
      </c>
      <c r="C5" t="s">
        <v>20</v>
      </c>
      <c r="D5" s="10"/>
      <c r="E5" s="10" t="s">
        <v>0</v>
      </c>
      <c r="F5" s="10" t="s">
        <v>1</v>
      </c>
      <c r="G5" t="s">
        <v>2</v>
      </c>
      <c r="H5" s="28" t="s">
        <v>27</v>
      </c>
    </row>
    <row r="6" spans="1:14" x14ac:dyDescent="0.2">
      <c r="A6" t="s">
        <v>17</v>
      </c>
      <c r="B6" s="7">
        <v>71</v>
      </c>
      <c r="C6" s="7">
        <f>D6-B6</f>
        <v>246</v>
      </c>
      <c r="D6" s="8">
        <v>317</v>
      </c>
      <c r="E6" s="12">
        <f>($B6/($B6+$C6))/($B7/($B7+$C7))</f>
        <v>5.3558409694056381</v>
      </c>
      <c r="F6" s="12">
        <v>4.1014891863365142</v>
      </c>
      <c r="G6" s="1">
        <v>6.9938091230677228</v>
      </c>
      <c r="H6" s="27" t="s">
        <v>32</v>
      </c>
      <c r="L6" s="1"/>
    </row>
    <row r="7" spans="1:14" x14ac:dyDescent="0.2">
      <c r="A7" t="s">
        <v>19</v>
      </c>
      <c r="B7" s="7">
        <v>126</v>
      </c>
      <c r="C7" s="7">
        <f>D7-B7</f>
        <v>2887</v>
      </c>
      <c r="D7" s="8">
        <v>3013</v>
      </c>
      <c r="E7" s="16">
        <f>SUM(B6:C7)</f>
        <v>3330</v>
      </c>
      <c r="F7" s="10"/>
      <c r="J7" s="3"/>
    </row>
    <row r="8" spans="1:14" x14ac:dyDescent="0.2">
      <c r="C8" s="7"/>
      <c r="D8" s="8"/>
      <c r="E8" s="10"/>
      <c r="F8" s="10"/>
      <c r="J8" s="20"/>
      <c r="K8" s="20"/>
      <c r="L8" s="20"/>
      <c r="M8" s="20"/>
    </row>
    <row r="9" spans="1:14" x14ac:dyDescent="0.2">
      <c r="A9" t="s">
        <v>6</v>
      </c>
      <c r="D9" s="10"/>
      <c r="E9" s="10"/>
      <c r="F9" s="10"/>
      <c r="J9" t="s">
        <v>28</v>
      </c>
      <c r="K9" s="2"/>
      <c r="L9" s="21"/>
      <c r="M9" s="20"/>
      <c r="N9" s="5"/>
    </row>
    <row r="10" spans="1:14" x14ac:dyDescent="0.2">
      <c r="A10" t="s">
        <v>17</v>
      </c>
      <c r="B10" s="7">
        <v>174</v>
      </c>
      <c r="C10" s="7">
        <f>D10-B10</f>
        <v>372</v>
      </c>
      <c r="D10" s="8">
        <v>546</v>
      </c>
      <c r="E10" s="12">
        <f>($B10/($B10+$C10))/($B11/($B11+$C11))</f>
        <v>2.6288009179575442</v>
      </c>
      <c r="F10" s="12">
        <v>2.2197892372654087</v>
      </c>
      <c r="G10" s="1">
        <v>3.1131758593296412</v>
      </c>
      <c r="H10" s="27" t="s">
        <v>32</v>
      </c>
      <c r="J10" s="18" t="s">
        <v>26</v>
      </c>
      <c r="K10" s="19">
        <v>19.41</v>
      </c>
      <c r="L10" s="20"/>
      <c r="M10" s="20"/>
    </row>
    <row r="11" spans="1:14" x14ac:dyDescent="0.2">
      <c r="A11" t="s">
        <v>19</v>
      </c>
      <c r="B11" s="7">
        <v>249</v>
      </c>
      <c r="C11" s="7">
        <f>D11-B11</f>
        <v>1805</v>
      </c>
      <c r="D11" s="8">
        <v>2054</v>
      </c>
      <c r="E11" s="16">
        <f>SUM(B10:C11)</f>
        <v>2600</v>
      </c>
      <c r="F11" s="10"/>
      <c r="J11" s="6" t="s">
        <v>27</v>
      </c>
      <c r="K11" s="6" t="s">
        <v>29</v>
      </c>
      <c r="L11" s="20"/>
      <c r="M11" s="20"/>
    </row>
    <row r="12" spans="1:14" x14ac:dyDescent="0.2">
      <c r="D12" s="10"/>
      <c r="E12" s="10"/>
      <c r="F12" s="10"/>
      <c r="J12" s="20"/>
      <c r="K12" s="20"/>
      <c r="L12" s="20"/>
      <c r="M12" s="20"/>
    </row>
    <row r="13" spans="1:14" x14ac:dyDescent="0.2">
      <c r="D13" s="10"/>
      <c r="E13" s="10"/>
      <c r="F13" s="10"/>
      <c r="J13" s="20"/>
      <c r="K13" s="20"/>
      <c r="L13" s="20"/>
      <c r="M13" s="20"/>
    </row>
    <row r="14" spans="1:14" x14ac:dyDescent="0.2">
      <c r="A14" t="s">
        <v>16</v>
      </c>
      <c r="D14" s="10"/>
      <c r="E14" s="10"/>
      <c r="F14" s="10"/>
      <c r="J14" s="20"/>
      <c r="K14" s="20"/>
      <c r="L14" s="21"/>
      <c r="M14" s="20"/>
      <c r="N14" s="5"/>
    </row>
    <row r="15" spans="1:14" x14ac:dyDescent="0.2">
      <c r="A15" t="s">
        <v>17</v>
      </c>
      <c r="B15" s="7">
        <f>B6+B10</f>
        <v>245</v>
      </c>
      <c r="C15" s="7">
        <f>D15-B15</f>
        <v>614</v>
      </c>
      <c r="D15" s="8">
        <v>859</v>
      </c>
      <c r="E15" s="12">
        <f>($B15/($B15+$C15))/($B16/($B16+$C16))</f>
        <v>3.9059739320482283</v>
      </c>
      <c r="F15" s="12">
        <v>3.3800841802135868</v>
      </c>
      <c r="G15" s="1">
        <v>4.5136841405163555</v>
      </c>
      <c r="H15" s="1"/>
      <c r="J15" s="20"/>
      <c r="K15" s="20"/>
      <c r="L15" s="20"/>
      <c r="M15" s="20"/>
    </row>
    <row r="16" spans="1:14" x14ac:dyDescent="0.2">
      <c r="A16" t="s">
        <v>19</v>
      </c>
      <c r="B16" s="7">
        <v>367</v>
      </c>
      <c r="C16" s="7">
        <f>D16-B16</f>
        <v>4659</v>
      </c>
      <c r="D16" s="8">
        <v>5026</v>
      </c>
      <c r="E16" s="16">
        <f>SUM(B15:C16)</f>
        <v>5885</v>
      </c>
      <c r="F16" s="10"/>
      <c r="J16" s="20"/>
      <c r="K16" s="20"/>
      <c r="L16" s="20"/>
      <c r="M16" s="20"/>
    </row>
    <row r="17" spans="3:14" x14ac:dyDescent="0.2">
      <c r="C17" s="7"/>
      <c r="D17" s="8"/>
      <c r="E17" s="10"/>
      <c r="F17" s="10"/>
      <c r="J17" s="20"/>
      <c r="K17" s="20"/>
      <c r="L17" s="20"/>
      <c r="M17" s="20"/>
    </row>
    <row r="18" spans="3:14" x14ac:dyDescent="0.2">
      <c r="D18" s="10"/>
      <c r="E18" s="10"/>
      <c r="F18" s="10"/>
      <c r="J18" s="20"/>
      <c r="K18" s="20"/>
      <c r="L18" s="21"/>
      <c r="M18" s="20"/>
      <c r="N18" s="5"/>
    </row>
    <row r="19" spans="3:14" x14ac:dyDescent="0.2">
      <c r="D19" s="10"/>
      <c r="E19" s="10"/>
      <c r="F19" s="10"/>
      <c r="J19" s="20"/>
      <c r="K19" s="20"/>
      <c r="L19" s="20"/>
      <c r="M19" s="20"/>
    </row>
    <row r="20" spans="3:14" x14ac:dyDescent="0.2">
      <c r="D20" s="10"/>
      <c r="E20" s="10"/>
      <c r="F20" s="10"/>
      <c r="J20" s="20"/>
      <c r="K20" s="20"/>
      <c r="L20" s="20"/>
      <c r="M20" s="20"/>
    </row>
    <row r="21" spans="3:14" x14ac:dyDescent="0.2">
      <c r="J21" s="20"/>
      <c r="K21" s="20"/>
      <c r="L21" s="20"/>
      <c r="M2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Adams 2000</vt:lpstr>
      <vt:lpstr>Ekwo 1998</vt:lpstr>
      <vt:lpstr>Grantz 2015</vt:lpstr>
      <vt:lpstr>McManemy 2007</vt:lpstr>
      <vt:lpstr>Hinkle 2014</vt:lpstr>
      <vt:lpstr>Okah 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2023-08-31T21:52:53Z</dcterms:created>
  <dcterms:modified xsi:type="dcterms:W3CDTF">2023-10-18T23:25:25Z</dcterms:modified>
</cp:coreProperties>
</file>