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4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5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6.xml" ContentType="application/vnd.openxmlformats-officedocument.drawing+xml"/>
  <Override PartName="/xl/charts/chart91.xml" ContentType="application/vnd.openxmlformats-officedocument.drawingml.chart+xml"/>
  <Override PartName="/xl/drawings/drawing7.xml" ContentType="application/vnd.openxmlformats-officedocument.drawing+xml"/>
  <Override PartName="/xl/charts/chart9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DPPH" sheetId="1" r:id="rId1"/>
    <sheet name="FRAP" sheetId="2" r:id="rId2"/>
    <sheet name="ABTS" sheetId="3" r:id="rId3"/>
    <sheet name="SO" sheetId="9" r:id="rId4"/>
    <sheet name="Hydroxyl" sheetId="10" r:id="rId5"/>
    <sheet name="Total phenolics" sheetId="12" r:id="rId6"/>
    <sheet name="Total flavonoids" sheetId="13" r:id="rId7"/>
    <sheet name="Antibacterial" sheetId="11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7" i="13" l="1"/>
  <c r="H47" i="13" s="1"/>
  <c r="G46" i="13"/>
  <c r="H46" i="13" s="1"/>
  <c r="G45" i="13"/>
  <c r="H45" i="13" s="1"/>
  <c r="G42" i="13"/>
  <c r="H42" i="13" s="1"/>
  <c r="G41" i="13"/>
  <c r="H41" i="13" s="1"/>
  <c r="G40" i="13"/>
  <c r="H40" i="13" s="1"/>
  <c r="G37" i="13"/>
  <c r="H37" i="13" s="1"/>
  <c r="G36" i="13"/>
  <c r="H36" i="13" s="1"/>
  <c r="G35" i="13"/>
  <c r="H35" i="13" s="1"/>
  <c r="G32" i="13"/>
  <c r="H32" i="13" s="1"/>
  <c r="G31" i="13"/>
  <c r="H31" i="13" s="1"/>
  <c r="G30" i="13"/>
  <c r="H30" i="13" s="1"/>
  <c r="G27" i="13"/>
  <c r="H27" i="13" s="1"/>
  <c r="G26" i="13"/>
  <c r="H26" i="13" s="1"/>
  <c r="G25" i="13"/>
  <c r="H25" i="13" s="1"/>
  <c r="G46" i="12"/>
  <c r="H46" i="12" s="1"/>
  <c r="J45" i="12" s="1"/>
  <c r="H45" i="12"/>
  <c r="G45" i="12"/>
  <c r="H44" i="12"/>
  <c r="G44" i="12"/>
  <c r="H41" i="12"/>
  <c r="G41" i="12"/>
  <c r="J40" i="12"/>
  <c r="H40" i="12"/>
  <c r="G40" i="12"/>
  <c r="H39" i="12"/>
  <c r="I40" i="12" s="1"/>
  <c r="G39" i="12"/>
  <c r="H36" i="12"/>
  <c r="G36" i="12"/>
  <c r="H35" i="12"/>
  <c r="G35" i="12"/>
  <c r="H34" i="12"/>
  <c r="I35" i="12" s="1"/>
  <c r="G34" i="12"/>
  <c r="H31" i="12"/>
  <c r="G31" i="12"/>
  <c r="H30" i="12"/>
  <c r="G30" i="12"/>
  <c r="H29" i="12"/>
  <c r="I30" i="12" s="1"/>
  <c r="G29" i="12"/>
  <c r="H26" i="12"/>
  <c r="G26" i="12"/>
  <c r="H25" i="12"/>
  <c r="G25" i="12"/>
  <c r="H24" i="12"/>
  <c r="I25" i="12" s="1"/>
  <c r="G24" i="12"/>
  <c r="E15" i="12"/>
  <c r="E12" i="12"/>
  <c r="E9" i="12"/>
  <c r="E6" i="12"/>
  <c r="E3" i="12"/>
  <c r="J31" i="13" l="1"/>
  <c r="I31" i="13"/>
  <c r="J41" i="13"/>
  <c r="I41" i="13"/>
  <c r="J26" i="13"/>
  <c r="I26" i="13"/>
  <c r="J36" i="13"/>
  <c r="I36" i="13"/>
  <c r="J46" i="13"/>
  <c r="I46" i="13"/>
  <c r="I45" i="12"/>
  <c r="J25" i="12"/>
  <c r="J30" i="12"/>
  <c r="J35" i="12"/>
  <c r="AS153" i="9" l="1"/>
  <c r="AS154" i="9"/>
  <c r="AS155" i="9"/>
  <c r="AG163" i="9"/>
  <c r="V163" i="9"/>
  <c r="J163" i="9"/>
  <c r="AS121" i="9"/>
  <c r="AS122" i="9"/>
  <c r="AS123" i="9"/>
  <c r="AG132" i="9"/>
  <c r="V132" i="9"/>
  <c r="J132" i="9"/>
  <c r="AR63" i="9"/>
  <c r="AR62" i="9"/>
  <c r="AR64" i="9"/>
  <c r="AG75" i="9"/>
  <c r="U75" i="9"/>
  <c r="J75" i="9"/>
  <c r="AS34" i="9"/>
  <c r="AS35" i="9"/>
  <c r="AS36" i="9"/>
  <c r="AG43" i="9"/>
  <c r="V43" i="9"/>
  <c r="J43" i="9"/>
  <c r="AS92" i="9"/>
  <c r="AS93" i="9"/>
  <c r="AS94" i="9"/>
  <c r="AG102" i="9"/>
  <c r="V102" i="9"/>
  <c r="J102" i="9"/>
  <c r="AS117" i="2" l="1"/>
  <c r="AS118" i="2"/>
  <c r="AS119" i="2"/>
  <c r="AG125" i="2"/>
  <c r="U125" i="2"/>
  <c r="J125" i="2"/>
  <c r="AR90" i="2"/>
  <c r="AR91" i="2"/>
  <c r="AR92" i="2"/>
  <c r="AG98" i="2"/>
  <c r="V98" i="2"/>
  <c r="J98" i="2"/>
  <c r="AU35" i="1"/>
  <c r="AU36" i="1"/>
  <c r="AU37" i="1"/>
  <c r="AH44" i="1"/>
  <c r="U44" i="1"/>
  <c r="J43" i="1"/>
  <c r="AR63" i="2"/>
  <c r="AR62" i="2"/>
  <c r="AR64" i="2"/>
  <c r="AG70" i="2"/>
  <c r="V70" i="2"/>
  <c r="J70" i="2"/>
  <c r="AR36" i="3"/>
  <c r="AR37" i="3"/>
  <c r="AR38" i="3"/>
  <c r="AG44" i="3"/>
  <c r="U44" i="3"/>
  <c r="J44" i="3"/>
  <c r="AS145" i="10"/>
  <c r="AS144" i="10"/>
  <c r="AS143" i="10"/>
  <c r="AT143" i="10" s="1"/>
  <c r="AG150" i="10"/>
  <c r="U150" i="10"/>
  <c r="AS116" i="10"/>
  <c r="AS115" i="10"/>
  <c r="AS114" i="10"/>
  <c r="AT114" i="10" s="1"/>
  <c r="AG121" i="10"/>
  <c r="U121" i="10"/>
  <c r="J121" i="10"/>
  <c r="AR87" i="10"/>
  <c r="AR86" i="10"/>
  <c r="AS85" i="10" s="1"/>
  <c r="AR85" i="10"/>
  <c r="AG93" i="10"/>
  <c r="U93" i="10"/>
  <c r="AR58" i="10" l="1"/>
  <c r="AG65" i="10"/>
  <c r="AR57" i="10"/>
  <c r="AR56" i="10"/>
  <c r="AS56" i="10" s="1"/>
  <c r="U65" i="10"/>
  <c r="J65" i="10"/>
  <c r="AS31" i="10"/>
  <c r="AS30" i="10"/>
  <c r="AT29" i="10" s="1"/>
  <c r="AS29" i="10"/>
  <c r="AG37" i="10"/>
  <c r="U37" i="10"/>
  <c r="J37" i="10"/>
  <c r="AR8" i="10"/>
  <c r="AR7" i="10"/>
  <c r="AR6" i="10"/>
  <c r="AS6" i="10" s="1"/>
  <c r="AF13" i="10"/>
  <c r="U13" i="10"/>
  <c r="AT153" i="9"/>
  <c r="AT121" i="9"/>
  <c r="AT92" i="9"/>
  <c r="AS62" i="9"/>
  <c r="AT34" i="9"/>
  <c r="AR10" i="9"/>
  <c r="AR9" i="9"/>
  <c r="AS8" i="9" s="1"/>
  <c r="AR8" i="9"/>
  <c r="AF15" i="9"/>
  <c r="U15" i="9"/>
  <c r="AS145" i="3" l="1"/>
  <c r="AR147" i="3"/>
  <c r="AR146" i="3"/>
  <c r="AR145" i="3"/>
  <c r="AG153" i="3"/>
  <c r="U153" i="3"/>
  <c r="AR119" i="3"/>
  <c r="AR118" i="3"/>
  <c r="AR117" i="3"/>
  <c r="AS117" i="3" s="1"/>
  <c r="AG125" i="3"/>
  <c r="U125" i="3"/>
  <c r="AR92" i="3"/>
  <c r="AG98" i="3"/>
  <c r="AR91" i="3"/>
  <c r="AR90" i="3"/>
  <c r="AS90" i="3" s="1"/>
  <c r="U98" i="3"/>
  <c r="AS65" i="3"/>
  <c r="AS64" i="3"/>
  <c r="AS63" i="3"/>
  <c r="AT63" i="3" s="1"/>
  <c r="AG68" i="3"/>
  <c r="V68" i="3"/>
  <c r="AS36" i="3"/>
  <c r="AR11" i="3"/>
  <c r="AR10" i="3"/>
  <c r="AS9" i="3" s="1"/>
  <c r="AR9" i="3"/>
  <c r="AG13" i="3"/>
  <c r="U13" i="3"/>
  <c r="AT144" i="2" l="1"/>
  <c r="AS146" i="2"/>
  <c r="AS145" i="2"/>
  <c r="AS144" i="2"/>
  <c r="AG152" i="2"/>
  <c r="V152" i="2"/>
  <c r="AT117" i="2"/>
  <c r="AS90" i="2"/>
  <c r="AS62" i="2"/>
  <c r="AR37" i="2" l="1"/>
  <c r="AR36" i="2"/>
  <c r="AR35" i="2"/>
  <c r="AG44" i="2"/>
  <c r="V44" i="2"/>
  <c r="AV35" i="1"/>
  <c r="AS11" i="2"/>
  <c r="AS10" i="2"/>
  <c r="AS9" i="2"/>
  <c r="AG15" i="2"/>
  <c r="U15" i="2"/>
  <c r="AT9" i="2" l="1"/>
  <c r="AS35" i="2"/>
  <c r="AS144" i="1"/>
  <c r="AS143" i="1"/>
  <c r="AT142" i="1" s="1"/>
  <c r="AS142" i="1"/>
  <c r="AG151" i="1"/>
  <c r="U151" i="1"/>
  <c r="AR118" i="1"/>
  <c r="AR117" i="1"/>
  <c r="AR116" i="1"/>
  <c r="AS116" i="1" s="1"/>
  <c r="AG124" i="1"/>
  <c r="U124" i="1"/>
  <c r="AR90" i="1"/>
  <c r="AR89" i="1"/>
  <c r="AR88" i="1"/>
  <c r="AS88" i="1" s="1"/>
  <c r="AG98" i="1"/>
  <c r="U98" i="1"/>
  <c r="AT64" i="1"/>
  <c r="AT63" i="1"/>
  <c r="AT62" i="1"/>
  <c r="AU62" i="1" s="1"/>
  <c r="AH70" i="1"/>
  <c r="U70" i="1"/>
  <c r="AT12" i="1"/>
  <c r="AT11" i="1"/>
  <c r="AT10" i="1"/>
  <c r="AU10" i="1" s="1"/>
  <c r="AG16" i="1"/>
  <c r="U16" i="1"/>
  <c r="J150" i="10" l="1"/>
  <c r="E139" i="10"/>
  <c r="E140" i="10"/>
  <c r="E141" i="10"/>
  <c r="G141" i="10" s="1"/>
  <c r="E142" i="10"/>
  <c r="E143" i="10"/>
  <c r="E144" i="10"/>
  <c r="F144" i="10" s="1"/>
  <c r="E145" i="10"/>
  <c r="E146" i="10"/>
  <c r="E147" i="10"/>
  <c r="G147" i="10" s="1"/>
  <c r="E148" i="10"/>
  <c r="E149" i="10"/>
  <c r="E150" i="10"/>
  <c r="F150" i="10" s="1"/>
  <c r="E151" i="10"/>
  <c r="E152" i="10"/>
  <c r="E153" i="10"/>
  <c r="G153" i="10" s="1"/>
  <c r="E154" i="10"/>
  <c r="E155" i="10"/>
  <c r="E156" i="10"/>
  <c r="F156" i="10" s="1"/>
  <c r="E157" i="10"/>
  <c r="E158" i="10"/>
  <c r="E138" i="10"/>
  <c r="F138" i="10" s="1"/>
  <c r="E134" i="1"/>
  <c r="E110" i="10"/>
  <c r="E111" i="10"/>
  <c r="E112" i="10"/>
  <c r="G112" i="10" s="1"/>
  <c r="E113" i="10"/>
  <c r="E114" i="10"/>
  <c r="E115" i="10"/>
  <c r="G115" i="10" s="1"/>
  <c r="E116" i="10"/>
  <c r="E117" i="10"/>
  <c r="E118" i="10"/>
  <c r="G118" i="10" s="1"/>
  <c r="E119" i="10"/>
  <c r="E120" i="10"/>
  <c r="E121" i="10"/>
  <c r="G121" i="10" s="1"/>
  <c r="E122" i="10"/>
  <c r="E123" i="10"/>
  <c r="E124" i="10"/>
  <c r="G124" i="10" s="1"/>
  <c r="E125" i="10"/>
  <c r="E126" i="10"/>
  <c r="E127" i="10"/>
  <c r="G127" i="10" s="1"/>
  <c r="E128" i="10"/>
  <c r="E129" i="10"/>
  <c r="E109" i="10"/>
  <c r="G109" i="10" s="1"/>
  <c r="E108" i="1"/>
  <c r="J93" i="10"/>
  <c r="E81" i="10"/>
  <c r="E82" i="10"/>
  <c r="E83" i="10"/>
  <c r="F83" i="10" s="1"/>
  <c r="E84" i="10"/>
  <c r="E85" i="10"/>
  <c r="E86" i="10"/>
  <c r="G86" i="10" s="1"/>
  <c r="E87" i="10"/>
  <c r="E88" i="10"/>
  <c r="E89" i="10"/>
  <c r="F89" i="10" s="1"/>
  <c r="E90" i="10"/>
  <c r="E91" i="10"/>
  <c r="E92" i="10"/>
  <c r="G92" i="10" s="1"/>
  <c r="E93" i="10"/>
  <c r="E94" i="10"/>
  <c r="E95" i="10"/>
  <c r="F95" i="10" s="1"/>
  <c r="E96" i="10"/>
  <c r="E97" i="10"/>
  <c r="E98" i="10"/>
  <c r="G98" i="10" s="1"/>
  <c r="E99" i="10"/>
  <c r="E100" i="10"/>
  <c r="E80" i="10"/>
  <c r="G80" i="10" s="1"/>
  <c r="E81" i="1"/>
  <c r="F80" i="10" l="1"/>
  <c r="F86" i="10"/>
  <c r="F92" i="10"/>
  <c r="F98" i="10"/>
  <c r="G83" i="10"/>
  <c r="G89" i="10"/>
  <c r="G95" i="10"/>
  <c r="F115" i="10"/>
  <c r="F121" i="10"/>
  <c r="F127" i="10"/>
  <c r="F141" i="10"/>
  <c r="F147" i="10"/>
  <c r="F153" i="10"/>
  <c r="G138" i="10"/>
  <c r="G144" i="10"/>
  <c r="G150" i="10"/>
  <c r="G156" i="10"/>
  <c r="F112" i="10"/>
  <c r="F118" i="10"/>
  <c r="F124" i="10"/>
  <c r="F109" i="10"/>
  <c r="E53" i="10"/>
  <c r="E54" i="10"/>
  <c r="E55" i="10"/>
  <c r="E56" i="10"/>
  <c r="G55" i="10" s="1"/>
  <c r="E57" i="10"/>
  <c r="E58" i="10"/>
  <c r="G58" i="10" s="1"/>
  <c r="E59" i="10"/>
  <c r="E60" i="10"/>
  <c r="E61" i="10"/>
  <c r="E62" i="10"/>
  <c r="G61" i="10" s="1"/>
  <c r="E63" i="10"/>
  <c r="E64" i="10"/>
  <c r="G64" i="10" s="1"/>
  <c r="E65" i="10"/>
  <c r="E66" i="10"/>
  <c r="E67" i="10"/>
  <c r="G67" i="10" s="1"/>
  <c r="E68" i="10"/>
  <c r="E69" i="10"/>
  <c r="E70" i="10"/>
  <c r="G70" i="10" s="1"/>
  <c r="E71" i="10"/>
  <c r="E72" i="10"/>
  <c r="E52" i="10"/>
  <c r="E54" i="1"/>
  <c r="E25" i="10"/>
  <c r="E26" i="10"/>
  <c r="E27" i="10"/>
  <c r="E28" i="10"/>
  <c r="G27" i="10" s="1"/>
  <c r="E29" i="10"/>
  <c r="E30" i="10"/>
  <c r="E31" i="10"/>
  <c r="E32" i="10"/>
  <c r="E33" i="10"/>
  <c r="E34" i="10"/>
  <c r="G33" i="10" s="1"/>
  <c r="E35" i="10"/>
  <c r="E36" i="10"/>
  <c r="E37" i="10"/>
  <c r="E38" i="10"/>
  <c r="E39" i="10"/>
  <c r="E40" i="10"/>
  <c r="G39" i="10" s="1"/>
  <c r="E41" i="10"/>
  <c r="E42" i="10"/>
  <c r="E43" i="10"/>
  <c r="E44" i="10"/>
  <c r="E24" i="10"/>
  <c r="E27" i="9"/>
  <c r="J13" i="10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2" i="10"/>
  <c r="F2" i="10" s="1"/>
  <c r="E2" i="9"/>
  <c r="C172" i="10"/>
  <c r="E57" i="9"/>
  <c r="E58" i="9"/>
  <c r="E59" i="9"/>
  <c r="G59" i="9" s="1"/>
  <c r="E60" i="9"/>
  <c r="F59" i="9" s="1"/>
  <c r="E61" i="9"/>
  <c r="E62" i="9"/>
  <c r="G62" i="9" s="1"/>
  <c r="E63" i="9"/>
  <c r="E64" i="9"/>
  <c r="E65" i="9"/>
  <c r="G65" i="9" s="1"/>
  <c r="E66" i="9"/>
  <c r="F65" i="9" s="1"/>
  <c r="E67" i="9"/>
  <c r="E68" i="9"/>
  <c r="E69" i="9"/>
  <c r="E70" i="9"/>
  <c r="E71" i="9"/>
  <c r="E72" i="9"/>
  <c r="E73" i="9"/>
  <c r="E74" i="9"/>
  <c r="E75" i="9"/>
  <c r="E76" i="9"/>
  <c r="E56" i="9"/>
  <c r="E47" i="9"/>
  <c r="F56" i="9" l="1"/>
  <c r="G68" i="9"/>
  <c r="G56" i="9"/>
  <c r="F62" i="9"/>
  <c r="G14" i="10"/>
  <c r="F11" i="10"/>
  <c r="F8" i="10"/>
  <c r="F5" i="10"/>
  <c r="G2" i="10"/>
  <c r="G52" i="10"/>
  <c r="G11" i="10"/>
  <c r="G5" i="10"/>
  <c r="G42" i="10"/>
  <c r="G36" i="10"/>
  <c r="G30" i="10"/>
  <c r="G74" i="9"/>
  <c r="F74" i="9"/>
  <c r="G71" i="9"/>
  <c r="F71" i="9"/>
  <c r="F68" i="9"/>
  <c r="F52" i="10"/>
  <c r="G8" i="10"/>
  <c r="F39" i="10"/>
  <c r="F67" i="10"/>
  <c r="F61" i="10"/>
  <c r="F55" i="10"/>
  <c r="F14" i="10"/>
  <c r="F24" i="10"/>
  <c r="F30" i="10"/>
  <c r="F36" i="10"/>
  <c r="F42" i="10"/>
  <c r="G24" i="10"/>
  <c r="F70" i="10"/>
  <c r="F64" i="10"/>
  <c r="F58" i="10"/>
  <c r="F33" i="10"/>
  <c r="F27" i="10"/>
  <c r="E148" i="9"/>
  <c r="E149" i="9"/>
  <c r="E150" i="9"/>
  <c r="E151" i="9"/>
  <c r="E152" i="9"/>
  <c r="E153" i="9"/>
  <c r="E154" i="9"/>
  <c r="E155" i="9"/>
  <c r="E156" i="9"/>
  <c r="E157" i="9"/>
  <c r="G156" i="9" s="1"/>
  <c r="E158" i="9"/>
  <c r="E159" i="9"/>
  <c r="E160" i="9"/>
  <c r="E161" i="9"/>
  <c r="E162" i="9"/>
  <c r="E163" i="9"/>
  <c r="E164" i="9"/>
  <c r="E165" i="9"/>
  <c r="E166" i="9"/>
  <c r="E167" i="9"/>
  <c r="E147" i="9"/>
  <c r="E135" i="9"/>
  <c r="J15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G42" i="9" s="1"/>
  <c r="E43" i="9"/>
  <c r="E44" i="9"/>
  <c r="E45" i="9"/>
  <c r="E46" i="9"/>
  <c r="E16" i="9"/>
  <c r="J125" i="3"/>
  <c r="J98" i="3"/>
  <c r="J69" i="3"/>
  <c r="J13" i="3"/>
  <c r="J153" i="3"/>
  <c r="J152" i="2"/>
  <c r="J44" i="2"/>
  <c r="J15" i="2"/>
  <c r="J151" i="1"/>
  <c r="J124" i="1"/>
  <c r="J97" i="1"/>
  <c r="J70" i="1"/>
  <c r="J16" i="1"/>
  <c r="G147" i="9" l="1"/>
  <c r="F156" i="9"/>
  <c r="F165" i="9"/>
  <c r="G165" i="9"/>
  <c r="G162" i="9"/>
  <c r="F162" i="9"/>
  <c r="F159" i="9"/>
  <c r="G159" i="9"/>
  <c r="G153" i="9"/>
  <c r="F153" i="9"/>
  <c r="G150" i="9"/>
  <c r="F150" i="9"/>
  <c r="F147" i="9"/>
  <c r="F45" i="9"/>
  <c r="G45" i="9"/>
  <c r="G39" i="9"/>
  <c r="G36" i="9"/>
  <c r="G33" i="9"/>
  <c r="G30" i="9"/>
  <c r="F27" i="9"/>
  <c r="G27" i="9"/>
  <c r="F33" i="9"/>
  <c r="F39" i="9"/>
  <c r="F30" i="9"/>
  <c r="F36" i="9"/>
  <c r="F42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15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2" i="3"/>
  <c r="D179" i="9"/>
  <c r="G2" i="9" l="1"/>
  <c r="F2" i="9"/>
  <c r="F133" i="9"/>
  <c r="G133" i="9"/>
  <c r="F91" i="9"/>
  <c r="G14" i="9"/>
  <c r="F14" i="9"/>
  <c r="G130" i="9"/>
  <c r="G127" i="9"/>
  <c r="G124" i="9"/>
  <c r="G121" i="9"/>
  <c r="F124" i="9"/>
  <c r="F130" i="9"/>
  <c r="F121" i="9"/>
  <c r="F127" i="9"/>
  <c r="G103" i="9"/>
  <c r="G97" i="9"/>
  <c r="F85" i="9"/>
  <c r="G115" i="9"/>
  <c r="F118" i="9"/>
  <c r="G118" i="9"/>
  <c r="F115" i="9"/>
  <c r="F103" i="9"/>
  <c r="G100" i="9"/>
  <c r="F100" i="9"/>
  <c r="F97" i="9"/>
  <c r="G94" i="9"/>
  <c r="F94" i="9"/>
  <c r="G91" i="9"/>
  <c r="G88" i="9"/>
  <c r="G85" i="9"/>
  <c r="F88" i="9"/>
  <c r="G11" i="9"/>
  <c r="F11" i="9"/>
  <c r="F8" i="9"/>
  <c r="G8" i="9"/>
  <c r="G5" i="9"/>
  <c r="F5" i="9"/>
  <c r="E2" i="1" l="1"/>
  <c r="E139" i="3" l="1"/>
  <c r="E28" i="3" l="1"/>
  <c r="E29" i="3"/>
  <c r="E156" i="3"/>
  <c r="D168" i="3"/>
  <c r="D167" i="2"/>
  <c r="C166" i="1"/>
  <c r="E158" i="3" l="1"/>
  <c r="E157" i="3"/>
  <c r="G156" i="3" s="1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8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F118" i="3" l="1"/>
  <c r="F147" i="3"/>
  <c r="F97" i="3"/>
  <c r="F138" i="3"/>
  <c r="G144" i="3"/>
  <c r="F150" i="3"/>
  <c r="G138" i="3"/>
  <c r="F141" i="3"/>
  <c r="F144" i="3"/>
  <c r="G150" i="3"/>
  <c r="F153" i="3"/>
  <c r="F156" i="3"/>
  <c r="G141" i="3"/>
  <c r="G147" i="3"/>
  <c r="G153" i="3"/>
  <c r="F109" i="3"/>
  <c r="G115" i="3"/>
  <c r="F121" i="3"/>
  <c r="G127" i="3"/>
  <c r="G109" i="3"/>
  <c r="F112" i="3"/>
  <c r="F115" i="3"/>
  <c r="G121" i="3"/>
  <c r="F124" i="3"/>
  <c r="F127" i="3"/>
  <c r="G112" i="3"/>
  <c r="G118" i="3"/>
  <c r="G124" i="3"/>
  <c r="F82" i="3"/>
  <c r="G88" i="3"/>
  <c r="G94" i="3"/>
  <c r="G82" i="3"/>
  <c r="F85" i="3"/>
  <c r="F91" i="3"/>
  <c r="F94" i="3"/>
  <c r="G100" i="3"/>
  <c r="F88" i="3"/>
  <c r="F100" i="3"/>
  <c r="G85" i="3"/>
  <c r="G91" i="3"/>
  <c r="G97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F37" i="3" l="1"/>
  <c r="F28" i="3"/>
  <c r="G28" i="3"/>
  <c r="F70" i="3"/>
  <c r="F43" i="3"/>
  <c r="F31" i="3"/>
  <c r="F55" i="3"/>
  <c r="G61" i="3"/>
  <c r="G73" i="3"/>
  <c r="G67" i="3"/>
  <c r="F67" i="3"/>
  <c r="F64" i="3"/>
  <c r="F58" i="3"/>
  <c r="G55" i="3"/>
  <c r="F61" i="3"/>
  <c r="F73" i="3"/>
  <c r="G58" i="3"/>
  <c r="G64" i="3"/>
  <c r="G70" i="3"/>
  <c r="G34" i="3"/>
  <c r="F34" i="3"/>
  <c r="G40" i="3"/>
  <c r="F40" i="3"/>
  <c r="G46" i="3"/>
  <c r="F46" i="3"/>
  <c r="G31" i="3"/>
  <c r="G37" i="3"/>
  <c r="G43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G2" i="3" l="1"/>
  <c r="F2" i="3"/>
  <c r="F14" i="3"/>
  <c r="F11" i="3"/>
  <c r="G14" i="3"/>
  <c r="G8" i="3"/>
  <c r="F8" i="3"/>
  <c r="F5" i="3"/>
  <c r="G5" i="3"/>
  <c r="G11" i="3"/>
  <c r="E156" i="2" l="1"/>
  <c r="E155" i="2"/>
  <c r="E154" i="2"/>
  <c r="E153" i="2"/>
  <c r="E152" i="2"/>
  <c r="E151" i="2"/>
  <c r="F151" i="2" s="1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G34" i="2" l="1"/>
  <c r="G148" i="2"/>
  <c r="F28" i="2"/>
  <c r="F118" i="2"/>
  <c r="F91" i="2"/>
  <c r="G115" i="2"/>
  <c r="F139" i="2"/>
  <c r="G136" i="2"/>
  <c r="G145" i="2"/>
  <c r="G139" i="2"/>
  <c r="G142" i="2"/>
  <c r="F145" i="2"/>
  <c r="G151" i="2"/>
  <c r="G154" i="2"/>
  <c r="F136" i="2"/>
  <c r="F142" i="2"/>
  <c r="F148" i="2"/>
  <c r="F154" i="2"/>
  <c r="F109" i="2"/>
  <c r="F121" i="2"/>
  <c r="G127" i="2"/>
  <c r="G109" i="2"/>
  <c r="F112" i="2"/>
  <c r="F115" i="2"/>
  <c r="G121" i="2"/>
  <c r="F124" i="2"/>
  <c r="F127" i="2"/>
  <c r="G112" i="2"/>
  <c r="G118" i="2"/>
  <c r="G124" i="2"/>
  <c r="F82" i="2"/>
  <c r="G88" i="2"/>
  <c r="F94" i="2"/>
  <c r="G100" i="2"/>
  <c r="G82" i="2"/>
  <c r="F85" i="2"/>
  <c r="F88" i="2"/>
  <c r="G94" i="2"/>
  <c r="F97" i="2"/>
  <c r="F100" i="2"/>
  <c r="G85" i="2"/>
  <c r="G91" i="2"/>
  <c r="G97" i="2"/>
  <c r="G60" i="2"/>
  <c r="F54" i="2"/>
  <c r="G72" i="2"/>
  <c r="F66" i="2"/>
  <c r="F63" i="2"/>
  <c r="G54" i="2"/>
  <c r="F57" i="2"/>
  <c r="F60" i="2"/>
  <c r="G66" i="2"/>
  <c r="F69" i="2"/>
  <c r="F72" i="2"/>
  <c r="G57" i="2"/>
  <c r="G63" i="2"/>
  <c r="G69" i="2"/>
  <c r="G46" i="2"/>
  <c r="F40" i="2"/>
  <c r="F37" i="2"/>
  <c r="G28" i="2"/>
  <c r="F31" i="2"/>
  <c r="F34" i="2"/>
  <c r="G40" i="2"/>
  <c r="F43" i="2"/>
  <c r="F46" i="2"/>
  <c r="G31" i="2"/>
  <c r="G37" i="2"/>
  <c r="G43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G14" i="2" l="1"/>
  <c r="F5" i="2"/>
  <c r="G2" i="2"/>
  <c r="G11" i="2"/>
  <c r="F11" i="2"/>
  <c r="G8" i="2"/>
  <c r="G5" i="2"/>
  <c r="F2" i="2"/>
  <c r="F8" i="2"/>
  <c r="F14" i="2"/>
  <c r="E154" i="1" l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F54" i="1"/>
  <c r="F126" i="1" l="1"/>
  <c r="G54" i="1"/>
  <c r="G81" i="1"/>
  <c r="F81" i="1"/>
  <c r="G84" i="1"/>
  <c r="G90" i="1"/>
  <c r="F108" i="1"/>
  <c r="G108" i="1"/>
  <c r="G134" i="1"/>
  <c r="F134" i="1"/>
  <c r="F152" i="1"/>
  <c r="G149" i="1"/>
  <c r="G140" i="1"/>
  <c r="G137" i="1"/>
  <c r="F143" i="1"/>
  <c r="G146" i="1"/>
  <c r="F114" i="1"/>
  <c r="G117" i="1"/>
  <c r="F120" i="1"/>
  <c r="G123" i="1"/>
  <c r="G96" i="1"/>
  <c r="F99" i="1"/>
  <c r="G57" i="1"/>
  <c r="F60" i="1"/>
  <c r="G63" i="1"/>
  <c r="F66" i="1"/>
  <c r="G69" i="1"/>
  <c r="F84" i="1"/>
  <c r="G114" i="1"/>
  <c r="F140" i="1"/>
  <c r="F146" i="1"/>
  <c r="G143" i="1"/>
  <c r="F87" i="1"/>
  <c r="G87" i="1"/>
  <c r="G99" i="1"/>
  <c r="G111" i="1"/>
  <c r="F137" i="1"/>
  <c r="F149" i="1"/>
  <c r="G152" i="1"/>
  <c r="F111" i="1"/>
  <c r="F117" i="1"/>
  <c r="G120" i="1"/>
  <c r="F123" i="1"/>
  <c r="G126" i="1"/>
  <c r="F90" i="1"/>
  <c r="G93" i="1"/>
  <c r="F93" i="1"/>
  <c r="F96" i="1"/>
  <c r="F57" i="1"/>
  <c r="G60" i="1"/>
  <c r="F63" i="1"/>
  <c r="G66" i="1"/>
  <c r="F69" i="1"/>
  <c r="F72" i="1"/>
  <c r="G72" i="1"/>
  <c r="E48" i="1" l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G2" i="1" l="1"/>
  <c r="G5" i="1"/>
  <c r="G28" i="1"/>
  <c r="F28" i="1"/>
  <c r="F34" i="1"/>
  <c r="G37" i="1"/>
  <c r="F37" i="1"/>
  <c r="G34" i="1"/>
  <c r="G31" i="1"/>
  <c r="F31" i="1"/>
  <c r="F40" i="1"/>
  <c r="G40" i="1"/>
  <c r="G43" i="1"/>
  <c r="F43" i="1"/>
  <c r="F46" i="1"/>
  <c r="G46" i="1"/>
  <c r="G8" i="1"/>
  <c r="F2" i="1"/>
  <c r="F5" i="1"/>
  <c r="F8" i="1"/>
  <c r="G11" i="1"/>
  <c r="F11" i="1"/>
  <c r="F14" i="1"/>
  <c r="G14" i="1"/>
</calcChain>
</file>

<file path=xl/sharedStrings.xml><?xml version="1.0" encoding="utf-8"?>
<sst xmlns="http://schemas.openxmlformats.org/spreadsheetml/2006/main" count="1420" uniqueCount="77">
  <si>
    <t>Rep-1</t>
  </si>
  <si>
    <t>Rep-2</t>
  </si>
  <si>
    <t>Rep-3</t>
  </si>
  <si>
    <t>SD</t>
  </si>
  <si>
    <t>AA (%)</t>
  </si>
  <si>
    <r>
      <t>Diff. Conc. (</t>
    </r>
    <r>
      <rPr>
        <sz val="11"/>
        <color theme="1"/>
        <rFont val="Calibri"/>
        <family val="2"/>
      </rPr>
      <t>μg/ml</t>
    </r>
    <r>
      <rPr>
        <sz val="11"/>
        <color theme="1"/>
        <rFont val="Calibri"/>
        <family val="2"/>
        <scheme val="minor"/>
      </rPr>
      <t>)</t>
    </r>
  </si>
  <si>
    <t xml:space="preserve">Replicate </t>
  </si>
  <si>
    <t xml:space="preserve">Control </t>
  </si>
  <si>
    <t>Test sample (O.D)</t>
  </si>
  <si>
    <t>AA Avg</t>
  </si>
  <si>
    <r>
      <t>Conc. (</t>
    </r>
    <r>
      <rPr>
        <sz val="11"/>
        <color theme="1"/>
        <rFont val="Calibri"/>
        <family val="2"/>
      </rPr>
      <t>μg/ml</t>
    </r>
    <r>
      <rPr>
        <sz val="11"/>
        <color theme="1"/>
        <rFont val="Calibri"/>
        <family val="2"/>
        <scheme val="minor"/>
      </rPr>
      <t>)</t>
    </r>
  </si>
  <si>
    <t>Chloroform</t>
  </si>
  <si>
    <t>Ethyl acetate</t>
  </si>
  <si>
    <t>Water</t>
  </si>
  <si>
    <t>Methanol</t>
  </si>
  <si>
    <t xml:space="preserve">Petroleum ether  </t>
  </si>
  <si>
    <t xml:space="preserve"> </t>
  </si>
  <si>
    <t>IC50=</t>
  </si>
  <si>
    <t xml:space="preserve">IC50= </t>
  </si>
  <si>
    <t>DPPH</t>
  </si>
  <si>
    <t>FRAP</t>
  </si>
  <si>
    <t>ABTS</t>
  </si>
  <si>
    <t>Avg</t>
  </si>
  <si>
    <t>Replicate</t>
  </si>
  <si>
    <t>Test sample</t>
  </si>
  <si>
    <t>Methanol extracts</t>
  </si>
  <si>
    <t>Average</t>
  </si>
  <si>
    <t>Chloroform extracts</t>
  </si>
  <si>
    <t>Ethyl acetate extracts</t>
  </si>
  <si>
    <t>Petroleum ether extracts</t>
  </si>
  <si>
    <t>Water extracts</t>
  </si>
  <si>
    <r>
      <t>Negative Control (</t>
    </r>
    <r>
      <rPr>
        <sz val="11"/>
        <color theme="1"/>
        <rFont val="Calibri"/>
        <family val="2"/>
      </rPr>
      <t>μg/ml)</t>
    </r>
  </si>
  <si>
    <t>Negative Control (μg/ml)</t>
  </si>
  <si>
    <t>Concentration</t>
  </si>
  <si>
    <t>Test sample OD value</t>
  </si>
  <si>
    <t>Standard (GAE)</t>
  </si>
  <si>
    <t>M value</t>
  </si>
  <si>
    <t>C value</t>
  </si>
  <si>
    <t>mg/mL (GAE)</t>
  </si>
  <si>
    <t>mg (GAE)/ g extracts</t>
  </si>
  <si>
    <t>Concentraction</t>
  </si>
  <si>
    <t>Concentration ug/ml</t>
  </si>
  <si>
    <t>Average OD value</t>
  </si>
  <si>
    <t>OD Value</t>
  </si>
  <si>
    <t xml:space="preserve">Test sample OD Value </t>
  </si>
  <si>
    <t>Standard (QE)</t>
  </si>
  <si>
    <t>mg/mL (QE)</t>
  </si>
  <si>
    <t>mg (QE)/ g extracts</t>
  </si>
  <si>
    <t>AA (%) inhibition</t>
  </si>
  <si>
    <t>SO</t>
  </si>
  <si>
    <t>Control</t>
  </si>
  <si>
    <t>Hydroxyl</t>
  </si>
  <si>
    <t>% of inhibition</t>
  </si>
  <si>
    <t>% of inhibition - SD value</t>
  </si>
  <si>
    <t>% of inhibition + SD value</t>
  </si>
  <si>
    <t>IC50 Value</t>
  </si>
  <si>
    <t>Minimum inhibitory concentration (µg/ml)</t>
  </si>
  <si>
    <t>Extracts</t>
  </si>
  <si>
    <t>E. coli</t>
  </si>
  <si>
    <t>P. vulgaris</t>
  </si>
  <si>
    <t>S. epidermis</t>
  </si>
  <si>
    <t>B. subtilis</t>
  </si>
  <si>
    <t>R. equi</t>
  </si>
  <si>
    <t>V. cholerae</t>
  </si>
  <si>
    <t>S. typhi</t>
  </si>
  <si>
    <t>S. flexneri</t>
  </si>
  <si>
    <t>P. aeruginosa</t>
  </si>
  <si>
    <t>E. aerogenes</t>
  </si>
  <si>
    <t>Petroleum ether</t>
  </si>
  <si>
    <t>&gt;500</t>
  </si>
  <si>
    <t>&gt;501</t>
  </si>
  <si>
    <t>&gt;502</t>
  </si>
  <si>
    <t>Aqueous</t>
  </si>
  <si>
    <t>Ampicillin</t>
  </si>
  <si>
    <t>Deflox (Standard)</t>
  </si>
  <si>
    <t>&lt;0.029</t>
  </si>
  <si>
    <t xml:space="preserve">Chloroform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</si>
</sst>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164" fontId="0" fillId="0" borderId="0" xfId="0" applyNumberFormat="1"/>
    <xf numFmtId="0" fontId="0" fillId="0" borderId="0" xfId="0" applyFont="1"/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Antioxidant activity (DPPH radical scavenging assay) of Ascorbic acid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1.1625033109393435E-2"/>
                  <c:y val="-2.404999375078115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0.9365x + 26.56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DPPH!$I$9:$I$15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DPPH!$J$9:$J$15</c:f>
              <c:numCache>
                <c:formatCode>General</c:formatCode>
                <c:ptCount val="7"/>
                <c:pt idx="0">
                  <c:v>18.75</c:v>
                </c:pt>
                <c:pt idx="1">
                  <c:v>30.79</c:v>
                </c:pt>
                <c:pt idx="2">
                  <c:v>58.12</c:v>
                </c:pt>
                <c:pt idx="3">
                  <c:v>77.180000000000007</c:v>
                </c:pt>
                <c:pt idx="4">
                  <c:v>93.11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A32-4040-BEDF-F5353712E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674048"/>
        <c:axId val="214692608"/>
      </c:scatterChart>
      <c:valAx>
        <c:axId val="214674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Concentration (</a:t>
                </a:r>
                <a:r>
                  <a:rPr lang="el-GR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μ</a:t>
                </a: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g/ml)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4692608"/>
        <c:crosses val="autoZero"/>
        <c:crossBetween val="midCat"/>
      </c:valAx>
      <c:valAx>
        <c:axId val="21469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% of Inhibtion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4674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DPPH!$AH$33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1.2307333696964611E-2"/>
                  <c:y val="-2.610003749531308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0.23x + 6.1496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DPPH!$AG$34:$AG$40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DPPH!$AH$34:$AH$40</c:f>
              <c:numCache>
                <c:formatCode>General</c:formatCode>
                <c:ptCount val="7"/>
                <c:pt idx="0">
                  <c:v>0.91</c:v>
                </c:pt>
                <c:pt idx="1">
                  <c:v>1.45</c:v>
                </c:pt>
                <c:pt idx="2">
                  <c:v>5.36</c:v>
                </c:pt>
                <c:pt idx="3">
                  <c:v>12.62</c:v>
                </c:pt>
                <c:pt idx="4">
                  <c:v>26.66</c:v>
                </c:pt>
                <c:pt idx="5">
                  <c:v>32.89</c:v>
                </c:pt>
                <c:pt idx="6">
                  <c:v>36.19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A4F-420E-8DCB-C87F3C1351BD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5839104"/>
        <c:axId val="215841024"/>
      </c:scatterChart>
      <c:valAx>
        <c:axId val="21583910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841024"/>
        <c:crosses val="autoZero"/>
        <c:crossBetween val="midCat"/>
        <c:majorUnit val="20"/>
      </c:valAx>
      <c:valAx>
        <c:axId val="215841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8391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DPPH!$U$59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6684510286016618E-2"/>
                  <c:y val="-1.849184970299765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0.178x + 6.1345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DPPH!$T$60:$T$66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DPPH!$U$60:$U$66</c:f>
              <c:numCache>
                <c:formatCode>General</c:formatCode>
                <c:ptCount val="7"/>
                <c:pt idx="0">
                  <c:v>0.76</c:v>
                </c:pt>
                <c:pt idx="1">
                  <c:v>3.79</c:v>
                </c:pt>
                <c:pt idx="2">
                  <c:v>8.24</c:v>
                </c:pt>
                <c:pt idx="3">
                  <c:v>11.13</c:v>
                </c:pt>
                <c:pt idx="4">
                  <c:v>19.68</c:v>
                </c:pt>
                <c:pt idx="5">
                  <c:v>25.34</c:v>
                </c:pt>
                <c:pt idx="6">
                  <c:v>30.52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1E-4B1C-B778-8A5D41CF51AB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5871488"/>
        <c:axId val="215873408"/>
      </c:scatterChart>
      <c:valAx>
        <c:axId val="2158714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873408"/>
        <c:crosses val="autoZero"/>
        <c:crossBetween val="midCat"/>
        <c:majorUnit val="20"/>
      </c:valAx>
      <c:valAx>
        <c:axId val="2158734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8714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DPPH!$AH$59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0.1777x + 6.5353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DPPH!$AG$60:$AG$66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DPPH!$AH$60:$AH$66</c:f>
              <c:numCache>
                <c:formatCode>General</c:formatCode>
                <c:ptCount val="7"/>
                <c:pt idx="0">
                  <c:v>1.2</c:v>
                </c:pt>
                <c:pt idx="1">
                  <c:v>4.1100000000000003</c:v>
                </c:pt>
                <c:pt idx="2">
                  <c:v>8.56</c:v>
                </c:pt>
                <c:pt idx="3">
                  <c:v>11.67</c:v>
                </c:pt>
                <c:pt idx="4">
                  <c:v>20</c:v>
                </c:pt>
                <c:pt idx="5">
                  <c:v>25.78</c:v>
                </c:pt>
                <c:pt idx="6">
                  <c:v>30.84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04-49E3-937B-982C0D451DC4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5924096"/>
        <c:axId val="215930368"/>
      </c:scatterChart>
      <c:valAx>
        <c:axId val="2159240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930368"/>
        <c:crosses val="autoZero"/>
        <c:crossBetween val="midCat"/>
        <c:majorUnit val="20"/>
      </c:valAx>
      <c:valAx>
        <c:axId val="215930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9240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DPPH!$U$87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3724352727028965E-2"/>
                  <c:y val="-2.512339422918669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0.2401x + 20.089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DPPH!$T$88:$T$94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DPPH!$U$88:$U$94</c:f>
              <c:numCache>
                <c:formatCode>General</c:formatCode>
                <c:ptCount val="7"/>
                <c:pt idx="0">
                  <c:v>5.8</c:v>
                </c:pt>
                <c:pt idx="1">
                  <c:v>15.78</c:v>
                </c:pt>
                <c:pt idx="2">
                  <c:v>27.3</c:v>
                </c:pt>
                <c:pt idx="3">
                  <c:v>31.38</c:v>
                </c:pt>
                <c:pt idx="4">
                  <c:v>38.81</c:v>
                </c:pt>
                <c:pt idx="5">
                  <c:v>45.23</c:v>
                </c:pt>
                <c:pt idx="6">
                  <c:v>52.55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26-47C8-A280-C231AD0EBDA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5964672"/>
        <c:axId val="215970944"/>
      </c:scatterChart>
      <c:valAx>
        <c:axId val="21596467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970944"/>
        <c:crosses val="autoZero"/>
        <c:crossBetween val="midCat"/>
      </c:valAx>
      <c:valAx>
        <c:axId val="215970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9646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DPPH!$AG$87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1.220513133532727E-2"/>
                  <c:y val="-2.751657687525901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0.2393x + 20.538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DPPH!$AF$88:$AF$94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DPPH!$AG$88:$AG$94</c:f>
              <c:numCache>
                <c:formatCode>General</c:formatCode>
                <c:ptCount val="7"/>
                <c:pt idx="0">
                  <c:v>6.34</c:v>
                </c:pt>
                <c:pt idx="1">
                  <c:v>15.99</c:v>
                </c:pt>
                <c:pt idx="2">
                  <c:v>27.42</c:v>
                </c:pt>
                <c:pt idx="3">
                  <c:v>32.24</c:v>
                </c:pt>
                <c:pt idx="4">
                  <c:v>39.43</c:v>
                </c:pt>
                <c:pt idx="5">
                  <c:v>45.44</c:v>
                </c:pt>
                <c:pt idx="6">
                  <c:v>52.88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73-495B-8BED-ADC17DFEAEB2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6001152"/>
        <c:axId val="216085248"/>
      </c:scatterChart>
      <c:valAx>
        <c:axId val="21600115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085248"/>
        <c:crosses val="autoZero"/>
        <c:crossBetween val="midCat"/>
      </c:valAx>
      <c:valAx>
        <c:axId val="2160852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0011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DPPH!$U$113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2902805753931922E-2"/>
                  <c:y val="-1.904469258415868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0.2322x + 13.9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DPPH!$T$114:$T$120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DPPH!$U$114:$U$120</c:f>
              <c:numCache>
                <c:formatCode>General</c:formatCode>
                <c:ptCount val="7"/>
                <c:pt idx="0">
                  <c:v>5.31</c:v>
                </c:pt>
                <c:pt idx="1">
                  <c:v>10.29</c:v>
                </c:pt>
                <c:pt idx="2">
                  <c:v>19.73</c:v>
                </c:pt>
                <c:pt idx="3">
                  <c:v>24.08</c:v>
                </c:pt>
                <c:pt idx="4">
                  <c:v>28.38</c:v>
                </c:pt>
                <c:pt idx="5">
                  <c:v>35.71</c:v>
                </c:pt>
                <c:pt idx="6">
                  <c:v>47.51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CC-4C84-B834-C9E86EDD2B7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6135936"/>
        <c:axId val="216142208"/>
      </c:scatterChart>
      <c:valAx>
        <c:axId val="2161359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142208"/>
        <c:crosses val="autoZero"/>
        <c:crossBetween val="midCat"/>
      </c:valAx>
      <c:valAx>
        <c:axId val="216142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135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DPPH!$AG$113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1.9170113463443529E-2"/>
                  <c:y val="-1.220847394075740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0.2311x + 14.322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DPPH!$AF$114:$AF$120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DPPH!$AG$114:$AG$120</c:f>
              <c:numCache>
                <c:formatCode>General</c:formatCode>
                <c:ptCount val="7"/>
                <c:pt idx="0">
                  <c:v>5.63</c:v>
                </c:pt>
                <c:pt idx="1">
                  <c:v>10.61</c:v>
                </c:pt>
                <c:pt idx="2">
                  <c:v>20.170000000000002</c:v>
                </c:pt>
                <c:pt idx="3">
                  <c:v>24.64</c:v>
                </c:pt>
                <c:pt idx="4">
                  <c:v>28.81</c:v>
                </c:pt>
                <c:pt idx="5">
                  <c:v>36.03</c:v>
                </c:pt>
                <c:pt idx="6">
                  <c:v>47.75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E18-497F-ADA5-FF8E08135387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6176512"/>
        <c:axId val="216186880"/>
      </c:scatterChart>
      <c:valAx>
        <c:axId val="21617651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186880"/>
        <c:crosses val="autoZero"/>
        <c:crossBetween val="midCat"/>
      </c:valAx>
      <c:valAx>
        <c:axId val="21618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1765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DPPH!$U$140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3.0292986632484892E-2"/>
                  <c:y val="-1.607565011820330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0.2599x + 11.809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DPPH!$T$141:$T$147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DPPH!$U$141:$U$147</c:f>
              <c:numCache>
                <c:formatCode>General</c:formatCode>
                <c:ptCount val="7"/>
                <c:pt idx="0">
                  <c:v>2.99</c:v>
                </c:pt>
                <c:pt idx="1">
                  <c:v>7.23</c:v>
                </c:pt>
                <c:pt idx="2">
                  <c:v>15.48</c:v>
                </c:pt>
                <c:pt idx="3">
                  <c:v>24.04</c:v>
                </c:pt>
                <c:pt idx="4">
                  <c:v>29.19</c:v>
                </c:pt>
                <c:pt idx="5">
                  <c:v>37.83</c:v>
                </c:pt>
                <c:pt idx="6">
                  <c:v>48.41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B8-418F-8D65-640BBB9C67C7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6208896"/>
        <c:axId val="216210816"/>
      </c:scatterChart>
      <c:valAx>
        <c:axId val="2162088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210816"/>
        <c:crosses val="autoZero"/>
        <c:crossBetween val="midCat"/>
      </c:valAx>
      <c:valAx>
        <c:axId val="216210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2088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DPPH!$AG$140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3.6906663645461586E-2"/>
                  <c:y val="-1.568627450980392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0.2583x + 12.323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DPPH!$AF$141:$AF$147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DPPH!$AG$141:$AG$147</c:f>
              <c:numCache>
                <c:formatCode>General</c:formatCode>
                <c:ptCount val="7"/>
                <c:pt idx="0">
                  <c:v>3.43</c:v>
                </c:pt>
                <c:pt idx="1">
                  <c:v>7.67</c:v>
                </c:pt>
                <c:pt idx="2">
                  <c:v>15.8</c:v>
                </c:pt>
                <c:pt idx="3">
                  <c:v>24.47</c:v>
                </c:pt>
                <c:pt idx="4">
                  <c:v>30.19</c:v>
                </c:pt>
                <c:pt idx="5">
                  <c:v>38.08</c:v>
                </c:pt>
                <c:pt idx="6">
                  <c:v>48.62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618-47E2-87B4-D4CBEA9B896A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6253568"/>
        <c:axId val="216255488"/>
      </c:scatterChart>
      <c:valAx>
        <c:axId val="2162535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255488"/>
        <c:crosses val="autoZero"/>
        <c:crossBetween val="midCat"/>
      </c:valAx>
      <c:valAx>
        <c:axId val="216255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2535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(FRAP radical scavenging assay) of Ascorbic acid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0.9645x + 22.9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FRAP!$I$8:$I$14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FRAP!$J$8:$J$14</c:f>
              <c:numCache>
                <c:formatCode>General</c:formatCode>
                <c:ptCount val="7"/>
                <c:pt idx="0">
                  <c:v>11.09</c:v>
                </c:pt>
                <c:pt idx="1">
                  <c:v>31.71</c:v>
                </c:pt>
                <c:pt idx="2">
                  <c:v>55.73</c:v>
                </c:pt>
                <c:pt idx="3">
                  <c:v>73.8</c:v>
                </c:pt>
                <c:pt idx="4">
                  <c:v>91.66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82E-4260-8DA7-C0819360A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368256"/>
        <c:axId val="216370176"/>
      </c:scatterChart>
      <c:valAx>
        <c:axId val="21636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6370176"/>
        <c:crosses val="autoZero"/>
        <c:crossBetween val="midCat"/>
      </c:valAx>
      <c:valAx>
        <c:axId val="21637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636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(DPPH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4.9138697342190944E-2"/>
                  <c:y val="-1.481481481481481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0.2299x + 5.8868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DPPH!$I$33:$I$39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DPPH!$J$33:$J$39</c:f>
              <c:numCache>
                <c:formatCode>General</c:formatCode>
                <c:ptCount val="7"/>
                <c:pt idx="0">
                  <c:v>0.52</c:v>
                </c:pt>
                <c:pt idx="1">
                  <c:v>1.23</c:v>
                </c:pt>
                <c:pt idx="2">
                  <c:v>5.08</c:v>
                </c:pt>
                <c:pt idx="3">
                  <c:v>12.46</c:v>
                </c:pt>
                <c:pt idx="4">
                  <c:v>26.44</c:v>
                </c:pt>
                <c:pt idx="5">
                  <c:v>32.549999999999997</c:v>
                </c:pt>
                <c:pt idx="6">
                  <c:v>35.909999999999997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DDB-45A1-A603-66E03EAB2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329408"/>
        <c:axId val="215339776"/>
      </c:scatterChart>
      <c:valAx>
        <c:axId val="21532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μ</a:t>
                </a: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g/ml)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5339776"/>
        <c:crosses val="autoZero"/>
        <c:crossBetween val="midCat"/>
      </c:valAx>
      <c:valAx>
        <c:axId val="21533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% of Inhibtion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5329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(FRAP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2.4231627296587926E-2"/>
                  <c:y val="-4.351851851851851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0.2371x + 2.9997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trendline>
            <c:trendlineType val="linear"/>
            <c:dispRSqr val="0"/>
            <c:dispEq val="0"/>
          </c:trendline>
          <c:xVal>
            <c:numRef>
              <c:f>FRAP!$I$35:$I$41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FRAP!$J$35:$J$41</c:f>
              <c:numCache>
                <c:formatCode>General</c:formatCode>
                <c:ptCount val="7"/>
                <c:pt idx="0">
                  <c:v>0.21</c:v>
                </c:pt>
                <c:pt idx="1">
                  <c:v>1.48</c:v>
                </c:pt>
                <c:pt idx="2">
                  <c:v>3.61</c:v>
                </c:pt>
                <c:pt idx="3">
                  <c:v>7.48</c:v>
                </c:pt>
                <c:pt idx="4">
                  <c:v>19.09</c:v>
                </c:pt>
                <c:pt idx="5">
                  <c:v>27.72</c:v>
                </c:pt>
                <c:pt idx="6">
                  <c:v>36.69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E6-4794-8837-61AEE6F2D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487040"/>
        <c:axId val="216488960"/>
      </c:scatterChart>
      <c:valAx>
        <c:axId val="216487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6488960"/>
        <c:crosses val="autoZero"/>
        <c:crossBetween val="midCat"/>
      </c:valAx>
      <c:valAx>
        <c:axId val="21648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6487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(FRAP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3.534273840769904E-2"/>
                  <c:y val="-2.330088947214931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0.1722x + 7.2729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FRAP!$I$61:$I$67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FRAP!$J$61:$J$67</c:f>
              <c:numCache>
                <c:formatCode>General</c:formatCode>
                <c:ptCount val="7"/>
                <c:pt idx="0">
                  <c:v>0.63</c:v>
                </c:pt>
                <c:pt idx="1">
                  <c:v>3.69</c:v>
                </c:pt>
                <c:pt idx="2">
                  <c:v>8.7100000000000009</c:v>
                </c:pt>
                <c:pt idx="3">
                  <c:v>15.05</c:v>
                </c:pt>
                <c:pt idx="4">
                  <c:v>21.51</c:v>
                </c:pt>
                <c:pt idx="5">
                  <c:v>25.51</c:v>
                </c:pt>
                <c:pt idx="6">
                  <c:v>30.48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7AE-439F-BD68-F8BEF3B0D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560768"/>
        <c:axId val="216562688"/>
      </c:scatterChart>
      <c:valAx>
        <c:axId val="216560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6562688"/>
        <c:crosses val="autoZero"/>
        <c:crossBetween val="midCat"/>
      </c:valAx>
      <c:valAx>
        <c:axId val="21656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6560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(FRAP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2.4231627296587926E-2"/>
                  <c:y val="-1.574074074074073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0.2899x + 6.4848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FRAP!$I$89:$I$95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FRAP!$J$89:$J$95</c:f>
              <c:numCache>
                <c:formatCode>General</c:formatCode>
                <c:ptCount val="7"/>
                <c:pt idx="0">
                  <c:v>1.06</c:v>
                </c:pt>
                <c:pt idx="1">
                  <c:v>3.44</c:v>
                </c:pt>
                <c:pt idx="2">
                  <c:v>8.58</c:v>
                </c:pt>
                <c:pt idx="3">
                  <c:v>15</c:v>
                </c:pt>
                <c:pt idx="4">
                  <c:v>26.7</c:v>
                </c:pt>
                <c:pt idx="5">
                  <c:v>34.31</c:v>
                </c:pt>
                <c:pt idx="6">
                  <c:v>48.34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648-48E9-AFF9-7102E34E9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597632"/>
        <c:axId val="216599552"/>
      </c:scatterChart>
      <c:valAx>
        <c:axId val="216597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6599552"/>
        <c:crosses val="autoZero"/>
        <c:crossBetween val="midCat"/>
      </c:valAx>
      <c:valAx>
        <c:axId val="21659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6597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(FRAP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numFmt formatCode="General" sourceLinked="0"/>
            </c:trendlineLbl>
          </c:trendline>
          <c:xVal>
            <c:numRef>
              <c:f>FRAP!$I$116:$I$122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FRAP!$J$116:$J$122</c:f>
              <c:numCache>
                <c:formatCode>General</c:formatCode>
                <c:ptCount val="7"/>
                <c:pt idx="0">
                  <c:v>1.59</c:v>
                </c:pt>
                <c:pt idx="1">
                  <c:v>3.82</c:v>
                </c:pt>
                <c:pt idx="2">
                  <c:v>8.92</c:v>
                </c:pt>
                <c:pt idx="3">
                  <c:v>16.75</c:v>
                </c:pt>
                <c:pt idx="4">
                  <c:v>25.51</c:v>
                </c:pt>
                <c:pt idx="5">
                  <c:v>32.950000000000003</c:v>
                </c:pt>
                <c:pt idx="6">
                  <c:v>43.15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47-4358-B8A3-E39014003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54976"/>
        <c:axId val="216656896"/>
      </c:scatterChart>
      <c:valAx>
        <c:axId val="216654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6656896"/>
        <c:crosses val="autoZero"/>
        <c:crossBetween val="midCat"/>
      </c:valAx>
      <c:valAx>
        <c:axId val="21665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6654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Antioxidant activity (FRAP radical scavenging assay) </a:t>
            </a:r>
            <a:endParaRPr lang="en-US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0.2223x + 8.0053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FRAP!$I$143:$I$149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FRAP!$J$143:$J$149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3.86</c:v>
                </c:pt>
                <c:pt idx="2">
                  <c:v>8.7100000000000009</c:v>
                </c:pt>
                <c:pt idx="3">
                  <c:v>16.45</c:v>
                </c:pt>
                <c:pt idx="4">
                  <c:v>26.82</c:v>
                </c:pt>
                <c:pt idx="5">
                  <c:v>31.63</c:v>
                </c:pt>
                <c:pt idx="6">
                  <c:v>38.049999999999997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952-40B4-8885-F5D774D08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03360"/>
        <c:axId val="216705280"/>
      </c:scatterChart>
      <c:valAx>
        <c:axId val="21670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6705280"/>
        <c:crosses val="autoZero"/>
        <c:crossBetween val="midCat"/>
      </c:valAx>
      <c:valAx>
        <c:axId val="21670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6703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(FRAP radical scavenging assay) of Ascorbic acid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FRAP!$U$7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8.1865750408048905E-3"/>
                  <c:y val="-2.49048578859963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0.9635x + 22.617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FRAP!$T$8:$T$12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FRAP!$U$8:$U$12</c:f>
              <c:numCache>
                <c:formatCode>General</c:formatCode>
                <c:ptCount val="5"/>
                <c:pt idx="0">
                  <c:v>10.84</c:v>
                </c:pt>
                <c:pt idx="1">
                  <c:v>31.32</c:v>
                </c:pt>
                <c:pt idx="2">
                  <c:v>55.61</c:v>
                </c:pt>
                <c:pt idx="3">
                  <c:v>73.319999999999993</c:v>
                </c:pt>
                <c:pt idx="4">
                  <c:v>91.34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3B-4F82-AB03-68289547046D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6813568"/>
        <c:axId val="216815488"/>
      </c:scatterChart>
      <c:valAx>
        <c:axId val="2168135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815488"/>
        <c:crosses val="autoZero"/>
        <c:crossBetween val="midCat"/>
      </c:valAx>
      <c:valAx>
        <c:axId val="216815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8135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(FRAP radical scavenging assay) of Ascorbic acid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FRAP!$AG$7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1.8557189021892493E-2"/>
                  <c:y val="-3.387326584176977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0.9656x + 23.183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FRAP!$AF$8:$AF$12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FRAP!$AG$8:$AG$12</c:f>
              <c:numCache>
                <c:formatCode>General</c:formatCode>
                <c:ptCount val="5"/>
                <c:pt idx="0">
                  <c:v>11.35</c:v>
                </c:pt>
                <c:pt idx="1">
                  <c:v>32.1</c:v>
                </c:pt>
                <c:pt idx="2">
                  <c:v>55.86</c:v>
                </c:pt>
                <c:pt idx="3">
                  <c:v>74.290000000000006</c:v>
                </c:pt>
                <c:pt idx="4">
                  <c:v>91.98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C2-4F18-916F-4EF8E2FF5A7B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6927616"/>
        <c:axId val="216937984"/>
      </c:scatterChart>
      <c:valAx>
        <c:axId val="21692761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937984"/>
        <c:crosses val="autoZero"/>
        <c:crossBetween val="midCat"/>
      </c:valAx>
      <c:valAx>
        <c:axId val="2169379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927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(FRAP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FRAP!$V$34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4117472887590773E-2"/>
                  <c:y val="-1.114982578397212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0.236x + 2.7945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FRAP!$U$35:$U$41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FRAP!$V$35:$V$41</c:f>
              <c:numCache>
                <c:formatCode>General</c:formatCode>
                <c:ptCount val="7"/>
                <c:pt idx="0">
                  <c:v>0.13</c:v>
                </c:pt>
                <c:pt idx="1">
                  <c:v>1.29</c:v>
                </c:pt>
                <c:pt idx="2">
                  <c:v>3.29</c:v>
                </c:pt>
                <c:pt idx="3">
                  <c:v>7.28</c:v>
                </c:pt>
                <c:pt idx="4">
                  <c:v>18.82</c:v>
                </c:pt>
                <c:pt idx="5">
                  <c:v>27.31</c:v>
                </c:pt>
                <c:pt idx="6">
                  <c:v>36.369999999999997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37B-4DEA-80C9-9CF36D79A6CC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6976384"/>
        <c:axId val="216978560"/>
      </c:scatterChart>
      <c:valAx>
        <c:axId val="21697638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978560"/>
        <c:crosses val="autoZero"/>
        <c:crossBetween val="midCat"/>
      </c:valAx>
      <c:valAx>
        <c:axId val="216978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69763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(FRAP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FRAP!$AG$34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1.3358311623686444E-2"/>
                  <c:y val="-2.508710801393728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0.2382x + 3.2013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FRAP!$AF$35:$AF$41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FRAP!$AG$35:$AG$41</c:f>
              <c:numCache>
                <c:formatCode>General</c:formatCode>
                <c:ptCount val="7"/>
                <c:pt idx="0">
                  <c:v>0.28000000000000003</c:v>
                </c:pt>
                <c:pt idx="1">
                  <c:v>1.68</c:v>
                </c:pt>
                <c:pt idx="2">
                  <c:v>3.93</c:v>
                </c:pt>
                <c:pt idx="3">
                  <c:v>7.67</c:v>
                </c:pt>
                <c:pt idx="4">
                  <c:v>19.350000000000001</c:v>
                </c:pt>
                <c:pt idx="5">
                  <c:v>28.13</c:v>
                </c:pt>
                <c:pt idx="6">
                  <c:v>37.01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889-40AF-B78F-43C43CE2B67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7025152"/>
        <c:axId val="217039616"/>
      </c:scatterChart>
      <c:valAx>
        <c:axId val="21702515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039616"/>
        <c:crosses val="autoZero"/>
        <c:crossBetween val="midCat"/>
      </c:valAx>
      <c:valAx>
        <c:axId val="217039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0251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(FRAP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FRAP!$V$60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5.5488535631159311E-2"/>
                  <c:y val="-2.795705720731396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0.1717x + 6.9548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FRAP!$U$61:$U$67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FRAP!$V$61:$V$67</c:f>
              <c:numCache>
                <c:formatCode>General</c:formatCode>
                <c:ptCount val="7"/>
                <c:pt idx="0">
                  <c:v>0.3</c:v>
                </c:pt>
                <c:pt idx="1">
                  <c:v>3.36</c:v>
                </c:pt>
                <c:pt idx="2">
                  <c:v>8.4499999999999993</c:v>
                </c:pt>
                <c:pt idx="3">
                  <c:v>14.79</c:v>
                </c:pt>
                <c:pt idx="4">
                  <c:v>21.03</c:v>
                </c:pt>
                <c:pt idx="5">
                  <c:v>25.17</c:v>
                </c:pt>
                <c:pt idx="6">
                  <c:v>30.1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CF8-4535-BB3C-5206189291A0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7058304"/>
        <c:axId val="217064576"/>
      </c:scatterChart>
      <c:valAx>
        <c:axId val="21705830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064576"/>
        <c:crosses val="autoZero"/>
        <c:crossBetween val="midCat"/>
      </c:valAx>
      <c:valAx>
        <c:axId val="217064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0583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(DPPH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0.1778x + 6.3349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DPPH!$I$60:$I$66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DPPH!$J$60:$J$66</c:f>
              <c:numCache>
                <c:formatCode>General</c:formatCode>
                <c:ptCount val="7"/>
                <c:pt idx="0">
                  <c:v>0.98</c:v>
                </c:pt>
                <c:pt idx="1">
                  <c:v>3.95</c:v>
                </c:pt>
                <c:pt idx="2">
                  <c:v>8.4</c:v>
                </c:pt>
                <c:pt idx="3">
                  <c:v>11.4</c:v>
                </c:pt>
                <c:pt idx="4">
                  <c:v>19.84</c:v>
                </c:pt>
                <c:pt idx="5">
                  <c:v>25.56</c:v>
                </c:pt>
                <c:pt idx="6">
                  <c:v>30.68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AD5-49B1-B370-CBA7BE71F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369600"/>
        <c:axId val="215388160"/>
      </c:scatterChart>
      <c:valAx>
        <c:axId val="215369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μ</a:t>
                </a: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g/ml)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5388160"/>
        <c:crosses val="autoZero"/>
        <c:crossBetween val="midCat"/>
      </c:valAx>
      <c:valAx>
        <c:axId val="21538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% of Inhibtion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5369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</a:rPr>
              <a:t>Antioxidant activity (FRAP radical scavenging assay) 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FRAP!$AG$60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3.2564960629921258E-2"/>
                  <c:y val="-1.828703703703703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0.1726x + 7.5954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FRAP!$AF$61:$AF$67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FRAP!$AG$61:$AG$67</c:f>
              <c:numCache>
                <c:formatCode>General</c:formatCode>
                <c:ptCount val="7"/>
                <c:pt idx="0">
                  <c:v>0.97</c:v>
                </c:pt>
                <c:pt idx="1">
                  <c:v>4.03</c:v>
                </c:pt>
                <c:pt idx="2">
                  <c:v>8.98</c:v>
                </c:pt>
                <c:pt idx="3">
                  <c:v>15.3</c:v>
                </c:pt>
                <c:pt idx="4">
                  <c:v>21.99</c:v>
                </c:pt>
                <c:pt idx="5">
                  <c:v>25.84</c:v>
                </c:pt>
                <c:pt idx="6">
                  <c:v>30.86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066-4EBA-BEDA-70AD67604FE7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7099648"/>
        <c:axId val="217105920"/>
      </c:scatterChart>
      <c:valAx>
        <c:axId val="2170996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105920"/>
        <c:crosses val="autoZero"/>
        <c:crossBetween val="midCat"/>
        <c:majorUnit val="20"/>
      </c:valAx>
      <c:valAx>
        <c:axId val="217105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099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(FRAP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FRAP!$V$88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9.0817781635563269E-3"/>
                  <c:y val="-1.2444372288515483E-2"/>
                </c:manualLayout>
              </c:layout>
              <c:numFmt formatCode="General" sourceLinked="0"/>
            </c:trendlineLbl>
          </c:trendline>
          <c:xVal>
            <c:numRef>
              <c:f>FRAP!$U$89:$U$95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FRAP!$V$89:$V$95</c:f>
              <c:numCache>
                <c:formatCode>General</c:formatCode>
                <c:ptCount val="7"/>
                <c:pt idx="0">
                  <c:v>0.79</c:v>
                </c:pt>
                <c:pt idx="1">
                  <c:v>3.31</c:v>
                </c:pt>
                <c:pt idx="2">
                  <c:v>8.32</c:v>
                </c:pt>
                <c:pt idx="3">
                  <c:v>14.68</c:v>
                </c:pt>
                <c:pt idx="4">
                  <c:v>26.37</c:v>
                </c:pt>
                <c:pt idx="5">
                  <c:v>33.97</c:v>
                </c:pt>
                <c:pt idx="6">
                  <c:v>48.08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32E-47A1-823F-500A85BB11C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7231360"/>
        <c:axId val="217233280"/>
      </c:scatterChart>
      <c:valAx>
        <c:axId val="21723136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233280"/>
        <c:crosses val="autoZero"/>
        <c:crossBetween val="midCat"/>
        <c:majorUnit val="20"/>
      </c:valAx>
      <c:valAx>
        <c:axId val="217233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2313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(FRAP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FRAP!$AG$88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7.6837270341207351E-4"/>
                  <c:y val="-1.5740740740740739E-2"/>
                </c:manualLayout>
              </c:layout>
              <c:numFmt formatCode="General" sourceLinked="0"/>
            </c:trendlineLbl>
          </c:trendline>
          <c:xVal>
            <c:numRef>
              <c:f>FRAP!$AF$89:$AF$95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FRAP!$AG$89:$AG$95</c:f>
              <c:numCache>
                <c:formatCode>General</c:formatCode>
                <c:ptCount val="7"/>
                <c:pt idx="0">
                  <c:v>1.32</c:v>
                </c:pt>
                <c:pt idx="1">
                  <c:v>3.57</c:v>
                </c:pt>
                <c:pt idx="2">
                  <c:v>8.85</c:v>
                </c:pt>
                <c:pt idx="3">
                  <c:v>15.32</c:v>
                </c:pt>
                <c:pt idx="4">
                  <c:v>27.02</c:v>
                </c:pt>
                <c:pt idx="5">
                  <c:v>34.64</c:v>
                </c:pt>
                <c:pt idx="6">
                  <c:v>48.59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F89-4508-9170-9B90F9F02AE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7276800"/>
        <c:axId val="217278720"/>
      </c:scatterChart>
      <c:valAx>
        <c:axId val="21727680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278720"/>
        <c:crosses val="autoZero"/>
        <c:crossBetween val="midCat"/>
        <c:majorUnit val="20"/>
      </c:valAx>
      <c:valAx>
        <c:axId val="217278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2768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(FRAP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FRAP!$U$115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numFmt formatCode="General" sourceLinked="0"/>
            </c:trendlineLbl>
          </c:trendline>
          <c:xVal>
            <c:numRef>
              <c:f>FRAP!$T$116:$T$122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FRAP!$U$116:$U$122</c:f>
              <c:numCache>
                <c:formatCode>General</c:formatCode>
                <c:ptCount val="7"/>
                <c:pt idx="0">
                  <c:v>1.39</c:v>
                </c:pt>
                <c:pt idx="1">
                  <c:v>3.57</c:v>
                </c:pt>
                <c:pt idx="2">
                  <c:v>8.41</c:v>
                </c:pt>
                <c:pt idx="3">
                  <c:v>16.48</c:v>
                </c:pt>
                <c:pt idx="4">
                  <c:v>25.25</c:v>
                </c:pt>
                <c:pt idx="5">
                  <c:v>32.68</c:v>
                </c:pt>
                <c:pt idx="6">
                  <c:v>42.83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61B-4C3A-B35B-97E3C8EBCEDA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7318144"/>
        <c:axId val="217320064"/>
      </c:scatterChart>
      <c:valAx>
        <c:axId val="21731814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320064"/>
        <c:crosses val="autoZero"/>
        <c:crossBetween val="midCat"/>
      </c:valAx>
      <c:valAx>
        <c:axId val="217320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3181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(FRAP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FRAP!$AG$115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numFmt formatCode="General" sourceLinked="0"/>
            </c:trendlineLbl>
          </c:trendline>
          <c:xVal>
            <c:numRef>
              <c:f>FRAP!$AF$116:$AF$122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FRAP!$AG$116:$AG$122</c:f>
              <c:numCache>
                <c:formatCode>General</c:formatCode>
                <c:ptCount val="7"/>
                <c:pt idx="0">
                  <c:v>1.78</c:v>
                </c:pt>
                <c:pt idx="1">
                  <c:v>4.08</c:v>
                </c:pt>
                <c:pt idx="2">
                  <c:v>9.43</c:v>
                </c:pt>
                <c:pt idx="3">
                  <c:v>17.010000000000002</c:v>
                </c:pt>
                <c:pt idx="4">
                  <c:v>25.76</c:v>
                </c:pt>
                <c:pt idx="5">
                  <c:v>33.21</c:v>
                </c:pt>
                <c:pt idx="6">
                  <c:v>43.47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F9B-40AF-8BD5-147E36780A7A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7359488"/>
        <c:axId val="217361408"/>
      </c:scatterChart>
      <c:valAx>
        <c:axId val="2173594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361408"/>
        <c:crosses val="autoZero"/>
        <c:crossBetween val="midCat"/>
      </c:valAx>
      <c:valAx>
        <c:axId val="2173614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3594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(FRAP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FRAP!$V$142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6.6092957130358704E-2"/>
                  <c:y val="-1.605643044619422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0.223x + 7.6492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FRAP!$U$143:$U$149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FRAP!$V$143:$V$149</c:f>
              <c:numCache>
                <c:formatCode>General</c:formatCode>
                <c:ptCount val="7"/>
                <c:pt idx="0">
                  <c:v>0.69</c:v>
                </c:pt>
                <c:pt idx="1">
                  <c:v>3.6</c:v>
                </c:pt>
                <c:pt idx="2">
                  <c:v>8.39</c:v>
                </c:pt>
                <c:pt idx="3">
                  <c:v>16.190000000000001</c:v>
                </c:pt>
                <c:pt idx="4">
                  <c:v>26.34</c:v>
                </c:pt>
                <c:pt idx="5">
                  <c:v>31.29</c:v>
                </c:pt>
                <c:pt idx="6">
                  <c:v>37.85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65-4155-B2D6-875702CA640A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7408256"/>
        <c:axId val="217410176"/>
      </c:scatterChart>
      <c:valAx>
        <c:axId val="2174082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410176"/>
        <c:crosses val="autoZero"/>
        <c:crossBetween val="midCat"/>
        <c:majorUnit val="20"/>
      </c:valAx>
      <c:valAx>
        <c:axId val="217410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408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(FRAP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FRAP!$AG$142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4335805574212478E-2"/>
                  <c:y val="-1.271132204364865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0.2215x + 8.3645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FRAP!$AF$143:$AF$149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FRAP!$AG$143:$AG$149</c:f>
              <c:numCache>
                <c:formatCode>General</c:formatCode>
                <c:ptCount val="7"/>
                <c:pt idx="0">
                  <c:v>1.51</c:v>
                </c:pt>
                <c:pt idx="1">
                  <c:v>4.13</c:v>
                </c:pt>
                <c:pt idx="2">
                  <c:v>9.0299999999999994</c:v>
                </c:pt>
                <c:pt idx="3">
                  <c:v>16.7</c:v>
                </c:pt>
                <c:pt idx="4">
                  <c:v>27.31</c:v>
                </c:pt>
                <c:pt idx="5">
                  <c:v>31.97</c:v>
                </c:pt>
                <c:pt idx="6">
                  <c:v>38.24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BE0-4EA4-A8DB-43DD598E0F76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7522560"/>
        <c:axId val="217524480"/>
      </c:scatterChart>
      <c:valAx>
        <c:axId val="21752256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524480"/>
        <c:crosses val="autoZero"/>
        <c:crossBetween val="midCat"/>
      </c:valAx>
      <c:valAx>
        <c:axId val="217524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5225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(ABTS radical scavenging assay) of Ascorbic acid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0.9452x + 28.88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ABTS!$I$6:$I$12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ABTS!$J$6:$J$12</c:f>
              <c:numCache>
                <c:formatCode>General</c:formatCode>
                <c:ptCount val="7"/>
                <c:pt idx="0">
                  <c:v>17.940000000000001</c:v>
                </c:pt>
                <c:pt idx="1">
                  <c:v>39.020000000000003</c:v>
                </c:pt>
                <c:pt idx="2">
                  <c:v>56.08</c:v>
                </c:pt>
                <c:pt idx="3">
                  <c:v>82.41</c:v>
                </c:pt>
                <c:pt idx="4">
                  <c:v>95.45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6F-4D8F-B137-EDEC9B5A2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596288"/>
        <c:axId val="217598208"/>
      </c:scatterChart>
      <c:valAx>
        <c:axId val="217596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598208"/>
        <c:crosses val="autoZero"/>
        <c:crossBetween val="midCat"/>
      </c:valAx>
      <c:valAx>
        <c:axId val="21759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596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(ABTS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6.5898293963254598E-2"/>
                  <c:y val="-2.500000000000000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0.1697x + 5.6583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ABTS!$I$35:$I$41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ABTS!$J$35:$J$41</c:f>
              <c:numCache>
                <c:formatCode>General</c:formatCode>
                <c:ptCount val="7"/>
                <c:pt idx="0">
                  <c:v>0.74</c:v>
                </c:pt>
                <c:pt idx="1">
                  <c:v>2.27</c:v>
                </c:pt>
                <c:pt idx="2">
                  <c:v>5.94</c:v>
                </c:pt>
                <c:pt idx="3">
                  <c:v>11.19</c:v>
                </c:pt>
                <c:pt idx="4">
                  <c:v>20.73</c:v>
                </c:pt>
                <c:pt idx="5">
                  <c:v>24.45</c:v>
                </c:pt>
                <c:pt idx="6">
                  <c:v>28.17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5E-4E00-8668-DFBF28D56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661824"/>
        <c:axId val="217663744"/>
      </c:scatterChart>
      <c:valAx>
        <c:axId val="21766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663744"/>
        <c:crosses val="autoZero"/>
        <c:crossBetween val="midCat"/>
      </c:valAx>
      <c:valAx>
        <c:axId val="21766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661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Antioxidant activity (ABTS radical scavenging assay) </a:t>
            </a:r>
            <a:endParaRPr lang="en-US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0.1889x + 7.3579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ABTS!$I$60:$I$66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ABTS!$J$60:$J$66</c:f>
              <c:numCache>
                <c:formatCode>General</c:formatCode>
                <c:ptCount val="7"/>
                <c:pt idx="0">
                  <c:v>0.87</c:v>
                </c:pt>
                <c:pt idx="1">
                  <c:v>3.41</c:v>
                </c:pt>
                <c:pt idx="2">
                  <c:v>8.6999999999999993</c:v>
                </c:pt>
                <c:pt idx="3">
                  <c:v>15.44</c:v>
                </c:pt>
                <c:pt idx="4">
                  <c:v>21.91</c:v>
                </c:pt>
                <c:pt idx="5">
                  <c:v>28.65</c:v>
                </c:pt>
                <c:pt idx="6">
                  <c:v>32.5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30A-4E89-9B6F-63C8A90E1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705856"/>
        <c:axId val="217712128"/>
      </c:scatterChart>
      <c:valAx>
        <c:axId val="217705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712128"/>
        <c:crosses val="autoZero"/>
        <c:crossBetween val="midCat"/>
      </c:valAx>
      <c:valAx>
        <c:axId val="21771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705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aseline="0">
                <a:solidFill>
                  <a:sysClr val="windowText" lastClr="000000"/>
                </a:solidFill>
                <a:latin typeface="Times New Roman" panose="02020603050405020304" pitchFamily="18" charset="0"/>
              </a:rPr>
              <a:t>Antioxidant activity (DPPH radical scavenging assay)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DPPH!$I$87:$I$93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DPPH!$J$87:$J$93</c:f>
              <c:numCache>
                <c:formatCode>General</c:formatCode>
                <c:ptCount val="7"/>
                <c:pt idx="0">
                  <c:v>6.07</c:v>
                </c:pt>
                <c:pt idx="1">
                  <c:v>15.89</c:v>
                </c:pt>
                <c:pt idx="2">
                  <c:v>27.36</c:v>
                </c:pt>
                <c:pt idx="3">
                  <c:v>31.81</c:v>
                </c:pt>
                <c:pt idx="4">
                  <c:v>39.119999999999997</c:v>
                </c:pt>
                <c:pt idx="5">
                  <c:v>45.33</c:v>
                </c:pt>
                <c:pt idx="6">
                  <c:v>52.71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A4-4D9F-A76C-053CC9989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485056"/>
        <c:axId val="215491328"/>
      </c:scatterChart>
      <c:valAx>
        <c:axId val="215485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Concentration (</a:t>
                </a:r>
                <a:r>
                  <a:rPr lang="el-GR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μ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g/ml)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5491328"/>
        <c:crosses val="autoZero"/>
        <c:crossBetween val="midCat"/>
      </c:valAx>
      <c:valAx>
        <c:axId val="21549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% of Inhibtion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5485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(ABTS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0.2974x + 6.5764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ABTS!$I$89:$I$95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ABTS!$J$89:$J$95</c:f>
              <c:numCache>
                <c:formatCode>General</c:formatCode>
                <c:ptCount val="7"/>
                <c:pt idx="0">
                  <c:v>1.39</c:v>
                </c:pt>
                <c:pt idx="1">
                  <c:v>3.58</c:v>
                </c:pt>
                <c:pt idx="2">
                  <c:v>9.8800000000000008</c:v>
                </c:pt>
                <c:pt idx="3">
                  <c:v>16.62</c:v>
                </c:pt>
                <c:pt idx="4">
                  <c:v>22</c:v>
                </c:pt>
                <c:pt idx="5">
                  <c:v>37.659999999999997</c:v>
                </c:pt>
                <c:pt idx="6">
                  <c:v>49.34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624-49EB-9F86-65605FC41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762432"/>
        <c:axId val="217768704"/>
      </c:scatterChart>
      <c:valAx>
        <c:axId val="21776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768704"/>
        <c:crosses val="autoZero"/>
        <c:crossBetween val="midCat"/>
      </c:valAx>
      <c:valAx>
        <c:axId val="21776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762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(ABTS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0.2336x + 12.057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ABTS!$I$116:$I$122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ABTS!$J$116:$J$122</c:f>
              <c:numCache>
                <c:formatCode>General</c:formatCode>
                <c:ptCount val="7"/>
                <c:pt idx="0">
                  <c:v>1.77</c:v>
                </c:pt>
                <c:pt idx="1">
                  <c:v>5.42</c:v>
                </c:pt>
                <c:pt idx="2">
                  <c:v>12.68</c:v>
                </c:pt>
                <c:pt idx="3">
                  <c:v>23.05</c:v>
                </c:pt>
                <c:pt idx="4">
                  <c:v>34.950000000000003</c:v>
                </c:pt>
                <c:pt idx="5">
                  <c:v>39.1</c:v>
                </c:pt>
                <c:pt idx="6">
                  <c:v>41.6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DC6-4F74-B0BD-B188E3E9C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876352"/>
        <c:axId val="217882624"/>
      </c:scatterChart>
      <c:valAx>
        <c:axId val="217876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882624"/>
        <c:crosses val="autoZero"/>
        <c:crossBetween val="midCat"/>
      </c:valAx>
      <c:valAx>
        <c:axId val="21788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876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(ABTS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0.2x + 9.0274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ABTS!$I$144:$I$150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ABTS!$J$144:$J$150</c:f>
              <c:numCache>
                <c:formatCode>General</c:formatCode>
                <c:ptCount val="7"/>
                <c:pt idx="0">
                  <c:v>1.35</c:v>
                </c:pt>
                <c:pt idx="1">
                  <c:v>4.9800000000000004</c:v>
                </c:pt>
                <c:pt idx="2">
                  <c:v>10.32</c:v>
                </c:pt>
                <c:pt idx="3">
                  <c:v>19.239999999999998</c:v>
                </c:pt>
                <c:pt idx="4">
                  <c:v>24.54</c:v>
                </c:pt>
                <c:pt idx="5">
                  <c:v>30.09</c:v>
                </c:pt>
                <c:pt idx="6">
                  <c:v>36.17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172-4EC2-9234-2B7D5FAE3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928832"/>
        <c:axId val="217930752"/>
      </c:scatterChart>
      <c:valAx>
        <c:axId val="217928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μ</a:t>
                </a: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g/ml)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930752"/>
        <c:crosses val="autoZero"/>
        <c:crossBetween val="midCat"/>
      </c:valAx>
      <c:valAx>
        <c:axId val="21793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</a:rPr>
                  <a:t>% of Inhibtion </a:t>
                </a:r>
                <a:endParaRPr lang="en-US" sz="1200" baseline="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928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of Ascorbic acid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ABTS!$U$5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1.784877272750084E-2"/>
                  <c:y val="-1.184200031533160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0.9404x + 28.761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ABTS!$T$6:$T$10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ABTS!$U$6:$U$10</c:f>
              <c:numCache>
                <c:formatCode>General</c:formatCode>
                <c:ptCount val="5"/>
                <c:pt idx="0">
                  <c:v>17.93</c:v>
                </c:pt>
                <c:pt idx="1">
                  <c:v>38.74</c:v>
                </c:pt>
                <c:pt idx="2">
                  <c:v>55.8</c:v>
                </c:pt>
                <c:pt idx="3">
                  <c:v>82.15</c:v>
                </c:pt>
                <c:pt idx="4">
                  <c:v>94.95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CF-4FA3-91D5-B11AF3D33FEC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7969408"/>
        <c:axId val="217971328"/>
      </c:scatterChart>
      <c:valAx>
        <c:axId val="2179694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971328"/>
        <c:crosses val="autoZero"/>
        <c:crossBetween val="midCat"/>
        <c:majorUnit val="10"/>
      </c:valAx>
      <c:valAx>
        <c:axId val="217971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796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of Ascorbic acid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ABTS!$AG$5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3037182852143481E-2"/>
                  <c:y val="-1.112678623505395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0.964x + 28.036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ABTS!$AF$6:$AF$10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ABTS!$AG$6:$AG$10</c:f>
              <c:numCache>
                <c:formatCode>General</c:formatCode>
                <c:ptCount val="5"/>
                <c:pt idx="0">
                  <c:v>18.350000000000001</c:v>
                </c:pt>
                <c:pt idx="1">
                  <c:v>36.29</c:v>
                </c:pt>
                <c:pt idx="2">
                  <c:v>56.35</c:v>
                </c:pt>
                <c:pt idx="3">
                  <c:v>82.67</c:v>
                </c:pt>
                <c:pt idx="4">
                  <c:v>95.94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79D-479B-82DD-54CCCBF9103B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005888"/>
        <c:axId val="218007808"/>
      </c:scatterChart>
      <c:valAx>
        <c:axId val="2180058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007808"/>
        <c:crosses val="autoZero"/>
        <c:crossBetween val="midCat"/>
      </c:valAx>
      <c:valAx>
        <c:axId val="218007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0058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ABTS!$U$34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5.9682604609488751E-2"/>
                  <c:y val="-1.579558652729384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0.1694x + 5.438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ABTS!$T$35:$T$41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ABTS!$U$35:$U$41</c:f>
              <c:numCache>
                <c:formatCode>General</c:formatCode>
                <c:ptCount val="7"/>
                <c:pt idx="0">
                  <c:v>0.54</c:v>
                </c:pt>
                <c:pt idx="1">
                  <c:v>2.0699999999999998</c:v>
                </c:pt>
                <c:pt idx="2">
                  <c:v>5.79</c:v>
                </c:pt>
                <c:pt idx="3">
                  <c:v>10.99</c:v>
                </c:pt>
                <c:pt idx="4">
                  <c:v>20.38</c:v>
                </c:pt>
                <c:pt idx="5">
                  <c:v>24.12</c:v>
                </c:pt>
                <c:pt idx="6">
                  <c:v>27.97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F7E-43AD-9D55-1C0753668A7C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055424"/>
        <c:axId val="218057344"/>
      </c:scatterChart>
      <c:valAx>
        <c:axId val="21805542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057344"/>
        <c:crosses val="autoZero"/>
        <c:crossBetween val="midCat"/>
      </c:valAx>
      <c:valAx>
        <c:axId val="218057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055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ABTS!$AG$34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7.6602020078229527E-2"/>
                  <c:y val="-1.563218390804597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0.17x + 5.8809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ABTS!$AF$35:$AF$41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ABTS!$AG$35:$AG$41</c:f>
              <c:numCache>
                <c:formatCode>General</c:formatCode>
                <c:ptCount val="7"/>
                <c:pt idx="0">
                  <c:v>0.94</c:v>
                </c:pt>
                <c:pt idx="1">
                  <c:v>2.4700000000000002</c:v>
                </c:pt>
                <c:pt idx="2">
                  <c:v>6.1</c:v>
                </c:pt>
                <c:pt idx="3">
                  <c:v>11.39</c:v>
                </c:pt>
                <c:pt idx="4">
                  <c:v>21.08</c:v>
                </c:pt>
                <c:pt idx="5">
                  <c:v>24.78</c:v>
                </c:pt>
                <c:pt idx="6">
                  <c:v>28.37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5FA-4368-85D4-441782E85548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174592"/>
        <c:axId val="218176512"/>
      </c:scatterChart>
      <c:valAx>
        <c:axId val="2181745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176512"/>
        <c:crosses val="autoZero"/>
        <c:crossBetween val="midCat"/>
      </c:valAx>
      <c:valAx>
        <c:axId val="218176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1745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ABTS!$V$58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3.2564960629921258E-2"/>
                  <c:y val="-6.4814814814814813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0.1891x + 7.1321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ABTS!$U$59:$U$65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ABTS!$V$59:$V$65</c:f>
              <c:numCache>
                <c:formatCode>General</c:formatCode>
                <c:ptCount val="7"/>
                <c:pt idx="0">
                  <c:v>0.67</c:v>
                </c:pt>
                <c:pt idx="1">
                  <c:v>3.14</c:v>
                </c:pt>
                <c:pt idx="2">
                  <c:v>8.5</c:v>
                </c:pt>
                <c:pt idx="3">
                  <c:v>15.24</c:v>
                </c:pt>
                <c:pt idx="4">
                  <c:v>21.65</c:v>
                </c:pt>
                <c:pt idx="5">
                  <c:v>28.45</c:v>
                </c:pt>
                <c:pt idx="6">
                  <c:v>32.299999999999997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033-41EB-B900-777092055D44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227456"/>
        <c:axId val="218229376"/>
      </c:scatterChart>
      <c:valAx>
        <c:axId val="2182274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229376"/>
        <c:crosses val="autoZero"/>
        <c:crossBetween val="midCat"/>
        <c:majorUnit val="20"/>
      </c:valAx>
      <c:valAx>
        <c:axId val="218229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227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ABTS!$AG$58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9.6428517034983785E-2"/>
                  <c:y val="-6.3708759954493746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0.1888x + 7.5813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ABTS!$AF$59:$AF$65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ABTS!$AG$59:$AG$65</c:f>
              <c:numCache>
                <c:formatCode>General</c:formatCode>
                <c:ptCount val="7"/>
                <c:pt idx="0">
                  <c:v>1.07</c:v>
                </c:pt>
                <c:pt idx="1">
                  <c:v>3.67</c:v>
                </c:pt>
                <c:pt idx="2">
                  <c:v>8.9</c:v>
                </c:pt>
                <c:pt idx="3">
                  <c:v>15.64</c:v>
                </c:pt>
                <c:pt idx="4">
                  <c:v>22.17</c:v>
                </c:pt>
                <c:pt idx="5">
                  <c:v>28.85</c:v>
                </c:pt>
                <c:pt idx="6">
                  <c:v>32.700000000000003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71F-4A30-A36F-11574F590FAC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268032"/>
        <c:axId val="218269952"/>
      </c:scatterChart>
      <c:valAx>
        <c:axId val="2182680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269952"/>
        <c:crosses val="autoZero"/>
        <c:crossBetween val="midCat"/>
      </c:valAx>
      <c:valAx>
        <c:axId val="218269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2680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ABTS!$U$88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3.8120516185476815E-2"/>
                  <c:y val="-6.4814814814814813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0.2982x + 6.3383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ABTS!$T$89:$T$95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ABTS!$U$89:$U$95</c:f>
              <c:numCache>
                <c:formatCode>General</c:formatCode>
                <c:ptCount val="7"/>
                <c:pt idx="0">
                  <c:v>0.86</c:v>
                </c:pt>
                <c:pt idx="1">
                  <c:v>3.31</c:v>
                </c:pt>
                <c:pt idx="2">
                  <c:v>9.5500000000000007</c:v>
                </c:pt>
                <c:pt idx="3">
                  <c:v>16.34</c:v>
                </c:pt>
                <c:pt idx="4">
                  <c:v>22.39</c:v>
                </c:pt>
                <c:pt idx="5">
                  <c:v>37.53</c:v>
                </c:pt>
                <c:pt idx="6">
                  <c:v>49.08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261-433C-9CAA-71F387D02094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324992"/>
        <c:axId val="218326912"/>
      </c:scatterChart>
      <c:valAx>
        <c:axId val="2183249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326912"/>
        <c:crosses val="autoZero"/>
        <c:crossBetween val="midCat"/>
        <c:majorUnit val="20"/>
      </c:valAx>
      <c:valAx>
        <c:axId val="218326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324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(DPPH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0.2315x + 14.133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DPPH!$I$114:$I$120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DPPH!$J$114:$J$120</c:f>
              <c:numCache>
                <c:formatCode>General</c:formatCode>
                <c:ptCount val="7"/>
                <c:pt idx="0">
                  <c:v>5.47</c:v>
                </c:pt>
                <c:pt idx="1">
                  <c:v>10.45</c:v>
                </c:pt>
                <c:pt idx="2">
                  <c:v>19.95</c:v>
                </c:pt>
                <c:pt idx="3">
                  <c:v>24.36</c:v>
                </c:pt>
                <c:pt idx="4">
                  <c:v>28.6</c:v>
                </c:pt>
                <c:pt idx="5">
                  <c:v>35.869999999999997</c:v>
                </c:pt>
                <c:pt idx="6">
                  <c:v>47.63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DF8-43B8-8AC3-F0327874EA5B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DPPH!$I$114:$I$120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DPPH!$K$114:$K$120</c:f>
              <c:numCache>
                <c:formatCode>General</c:formatCode>
                <c:ptCount val="7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DF8-43B8-8AC3-F0327874E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546496"/>
        <c:axId val="215549056"/>
      </c:scatterChart>
      <c:valAx>
        <c:axId val="215546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μ</a:t>
                </a: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g/ml)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5549056"/>
        <c:crosses val="autoZero"/>
        <c:crossBetween val="midCat"/>
      </c:valAx>
      <c:valAx>
        <c:axId val="21554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% of Inhibtion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5546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ABTS!$AG$88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1.7955961611668771E-2"/>
                  <c:y val="-1.099656357388316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0.2964x + 6.9198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ABTS!$AF$89:$AF$95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ABTS!$AG$89:$AG$95</c:f>
              <c:numCache>
                <c:formatCode>General</c:formatCode>
                <c:ptCount val="7"/>
                <c:pt idx="0">
                  <c:v>1.93</c:v>
                </c:pt>
                <c:pt idx="1">
                  <c:v>3.86</c:v>
                </c:pt>
                <c:pt idx="2">
                  <c:v>10.210000000000001</c:v>
                </c:pt>
                <c:pt idx="3">
                  <c:v>16.89</c:v>
                </c:pt>
                <c:pt idx="4">
                  <c:v>22.27</c:v>
                </c:pt>
                <c:pt idx="5">
                  <c:v>37.79</c:v>
                </c:pt>
                <c:pt idx="6">
                  <c:v>49.6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06-4CDB-8B16-158B438CAE0D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344832"/>
        <c:axId val="218355200"/>
      </c:scatterChart>
      <c:valAx>
        <c:axId val="2183448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355200"/>
        <c:crosses val="autoZero"/>
        <c:crossBetween val="midCat"/>
      </c:valAx>
      <c:valAx>
        <c:axId val="218355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344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ABTS!$U$115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1659750631729691E-2"/>
                  <c:y val="-2.561257024080043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0.2362x + 11.513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ABTS!$T$116:$T$122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ABTS!$U$116:$U$122</c:f>
              <c:numCache>
                <c:formatCode>General</c:formatCode>
                <c:ptCount val="7"/>
                <c:pt idx="0">
                  <c:v>0.82</c:v>
                </c:pt>
                <c:pt idx="1">
                  <c:v>4.62</c:v>
                </c:pt>
                <c:pt idx="2">
                  <c:v>12.35</c:v>
                </c:pt>
                <c:pt idx="3">
                  <c:v>22.85</c:v>
                </c:pt>
                <c:pt idx="4">
                  <c:v>34.75</c:v>
                </c:pt>
                <c:pt idx="5">
                  <c:v>38.880000000000003</c:v>
                </c:pt>
                <c:pt idx="6">
                  <c:v>41.33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C2-4746-9C0A-851CF37BE38F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401792"/>
        <c:axId val="218408064"/>
      </c:scatterChart>
      <c:valAx>
        <c:axId val="2184017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408064"/>
        <c:crosses val="autoZero"/>
        <c:crossBetween val="midCat"/>
      </c:valAx>
      <c:valAx>
        <c:axId val="218408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4017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ABTS!$AG$115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3.1769432667070462E-2"/>
                  <c:y val="-3.69599605418450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0.2309x + 12.604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ABTS!$AF$116:$AF$122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ABTS!$AG$116:$AG$122</c:f>
              <c:numCache>
                <c:formatCode>General</c:formatCode>
                <c:ptCount val="7"/>
                <c:pt idx="0">
                  <c:v>2.72</c:v>
                </c:pt>
                <c:pt idx="1">
                  <c:v>6.22</c:v>
                </c:pt>
                <c:pt idx="2">
                  <c:v>13.01</c:v>
                </c:pt>
                <c:pt idx="3">
                  <c:v>23.25</c:v>
                </c:pt>
                <c:pt idx="4">
                  <c:v>35.15</c:v>
                </c:pt>
                <c:pt idx="5">
                  <c:v>39.33</c:v>
                </c:pt>
                <c:pt idx="6">
                  <c:v>41.86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D2-49BF-85D0-19E84D297C84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425984"/>
        <c:axId val="218440448"/>
      </c:scatterChart>
      <c:valAx>
        <c:axId val="21842598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440448"/>
        <c:crosses val="autoZero"/>
        <c:crossBetween val="midCat"/>
      </c:valAx>
      <c:valAx>
        <c:axId val="218440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4259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ABTS!$U$143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5.1020053620309987E-2"/>
                  <c:y val="-1.073825503355704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0.2019x + 8.6117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ABTS!$T$144:$T$150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ABTS!$U$144:$U$150</c:f>
              <c:numCache>
                <c:formatCode>General</c:formatCode>
                <c:ptCount val="7"/>
                <c:pt idx="0">
                  <c:v>0.36</c:v>
                </c:pt>
                <c:pt idx="1">
                  <c:v>4.72</c:v>
                </c:pt>
                <c:pt idx="2">
                  <c:v>10.119999999999999</c:v>
                </c:pt>
                <c:pt idx="3">
                  <c:v>19.04</c:v>
                </c:pt>
                <c:pt idx="4">
                  <c:v>24.27</c:v>
                </c:pt>
                <c:pt idx="5">
                  <c:v>29.89</c:v>
                </c:pt>
                <c:pt idx="6">
                  <c:v>35.97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DF0-4DF3-AD60-60346379CEB8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491136"/>
        <c:axId val="218493312"/>
      </c:scatterChart>
      <c:valAx>
        <c:axId val="2184911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 algn="ctr"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493312"/>
        <c:crosses val="autoZero"/>
        <c:crossBetween val="midCat"/>
      </c:valAx>
      <c:valAx>
        <c:axId val="2184933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4911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(ABTS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ABTS!$AG$143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5.3913440404070472E-2"/>
                  <c:y val="-1.552511415525114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0.1981x + 9.4415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ABTS!$AF$144:$AF$150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ABTS!$AG$144:$AG$150</c:f>
              <c:numCache>
                <c:formatCode>General</c:formatCode>
                <c:ptCount val="7"/>
                <c:pt idx="0">
                  <c:v>2.34</c:v>
                </c:pt>
                <c:pt idx="1">
                  <c:v>5.24</c:v>
                </c:pt>
                <c:pt idx="2">
                  <c:v>10.52</c:v>
                </c:pt>
                <c:pt idx="3">
                  <c:v>19.440000000000001</c:v>
                </c:pt>
                <c:pt idx="4">
                  <c:v>24.8</c:v>
                </c:pt>
                <c:pt idx="5">
                  <c:v>30.29</c:v>
                </c:pt>
                <c:pt idx="6">
                  <c:v>36.369999999999997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7B0-4877-AD8F-0AD01A541128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597248"/>
        <c:axId val="218615808"/>
      </c:scatterChart>
      <c:valAx>
        <c:axId val="2185972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615808"/>
        <c:crosses val="autoZero"/>
        <c:crossBetween val="midCat"/>
      </c:valAx>
      <c:valAx>
        <c:axId val="218615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5972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of Ascorbic acid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0.7047x + 40.948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SO!$I$8:$I$12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SO!$J$8:$J$12</c:f>
              <c:numCache>
                <c:formatCode>General</c:formatCode>
                <c:ptCount val="5"/>
                <c:pt idx="0">
                  <c:v>33.43</c:v>
                </c:pt>
                <c:pt idx="1">
                  <c:v>52.46</c:v>
                </c:pt>
                <c:pt idx="2">
                  <c:v>60.32</c:v>
                </c:pt>
                <c:pt idx="3">
                  <c:v>74.11</c:v>
                </c:pt>
                <c:pt idx="4">
                  <c:v>93.65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6C81-4010-8496-A022D6B0527D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4782720"/>
        <c:axId val="214784640"/>
      </c:scatterChart>
      <c:valAx>
        <c:axId val="2147827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4784640"/>
        <c:crosses val="autoZero"/>
        <c:crossBetween val="midCat"/>
      </c:valAx>
      <c:valAx>
        <c:axId val="214784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47827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SO!$J$92</c:f>
              <c:strCache>
                <c:ptCount val="1"/>
                <c:pt idx="0">
                  <c:v>AA Avg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1.1565558353788773E-3"/>
                  <c:y val="-4.578623874547327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0.3503x + 21.209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SO!$I$93:$I$99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SO!$J$93:$J$99</c:f>
              <c:numCache>
                <c:formatCode>General</c:formatCode>
                <c:ptCount val="7"/>
                <c:pt idx="0">
                  <c:v>0.8</c:v>
                </c:pt>
                <c:pt idx="1">
                  <c:v>13.34</c:v>
                </c:pt>
                <c:pt idx="2">
                  <c:v>28.14</c:v>
                </c:pt>
                <c:pt idx="3">
                  <c:v>40.83</c:v>
                </c:pt>
                <c:pt idx="4">
                  <c:v>48.28</c:v>
                </c:pt>
                <c:pt idx="5">
                  <c:v>61.68</c:v>
                </c:pt>
                <c:pt idx="6">
                  <c:v>66.61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8718-4088-B621-3660C239AE40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658688"/>
        <c:axId val="218664960"/>
      </c:scatterChart>
      <c:valAx>
        <c:axId val="218658688"/>
        <c:scaling>
          <c:orientation val="minMax"/>
          <c:max val="18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1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1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1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664960"/>
        <c:crosses val="autoZero"/>
        <c:crossBetween val="midCat"/>
        <c:majorUnit val="20"/>
        <c:minorUnit val="10"/>
      </c:valAx>
      <c:valAx>
        <c:axId val="218664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1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1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658688"/>
        <c:crosses val="autoZero"/>
        <c:crossBetween val="midCat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SO!$J$122</c:f>
              <c:strCache>
                <c:ptCount val="1"/>
                <c:pt idx="0">
                  <c:v>AA Avg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0.3255x + 19.919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SO!$I$123:$I$129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SO!$J$123:$J$129</c:f>
              <c:numCache>
                <c:formatCode>General</c:formatCode>
                <c:ptCount val="7"/>
                <c:pt idx="0">
                  <c:v>3.17</c:v>
                </c:pt>
                <c:pt idx="1">
                  <c:v>13.39</c:v>
                </c:pt>
                <c:pt idx="2">
                  <c:v>27.99</c:v>
                </c:pt>
                <c:pt idx="3">
                  <c:v>35.75</c:v>
                </c:pt>
                <c:pt idx="4">
                  <c:v>42.34</c:v>
                </c:pt>
                <c:pt idx="5">
                  <c:v>56.89</c:v>
                </c:pt>
                <c:pt idx="6">
                  <c:v>63.24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9F0-4A59-A8E1-FF91640EB740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739456"/>
        <c:axId val="218741376"/>
      </c:scatterChart>
      <c:valAx>
        <c:axId val="2187394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1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1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1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741376"/>
        <c:crosses val="autoZero"/>
        <c:crossBetween val="midCat"/>
        <c:majorUnit val="20"/>
      </c:valAx>
      <c:valAx>
        <c:axId val="218741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1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1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739456"/>
        <c:crosses val="autoZero"/>
        <c:crossBetween val="midCat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SO!$J$33</c:f>
              <c:strCache>
                <c:ptCount val="1"/>
                <c:pt idx="0">
                  <c:v>AA Avg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6.9036313750006198E-2"/>
                  <c:y val="-9.8292061318422155E-5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0.3039x + 14.392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SO!$I$34:$I$40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SO!$J$34:$J$40</c:f>
              <c:numCache>
                <c:formatCode>General</c:formatCode>
                <c:ptCount val="7"/>
                <c:pt idx="0">
                  <c:v>1.05</c:v>
                </c:pt>
                <c:pt idx="1">
                  <c:v>9.91</c:v>
                </c:pt>
                <c:pt idx="2">
                  <c:v>18.88</c:v>
                </c:pt>
                <c:pt idx="3">
                  <c:v>28.14</c:v>
                </c:pt>
                <c:pt idx="4">
                  <c:v>35.799999999999997</c:v>
                </c:pt>
                <c:pt idx="5">
                  <c:v>48.08</c:v>
                </c:pt>
                <c:pt idx="6">
                  <c:v>55.38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B2-4C34-97AB-E7930FC32CB2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4869120"/>
        <c:axId val="214871040"/>
      </c:scatterChart>
      <c:valAx>
        <c:axId val="2148691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4871040"/>
        <c:crosses val="autoZero"/>
        <c:crossBetween val="midCat"/>
        <c:majorUnit val="20"/>
      </c:valAx>
      <c:valAx>
        <c:axId val="214871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48691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SO!$J$153</c:f>
              <c:strCache>
                <c:ptCount val="1"/>
                <c:pt idx="0">
                  <c:v>AA Avg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0.2653x + 12.658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SO!$I$154:$I$160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SO!$J$154:$J$160</c:f>
              <c:numCache>
                <c:formatCode>General</c:formatCode>
                <c:ptCount val="7"/>
                <c:pt idx="0">
                  <c:v>0.8</c:v>
                </c:pt>
                <c:pt idx="1">
                  <c:v>7.2</c:v>
                </c:pt>
                <c:pt idx="2">
                  <c:v>11.53</c:v>
                </c:pt>
                <c:pt idx="3">
                  <c:v>28.95</c:v>
                </c:pt>
                <c:pt idx="4">
                  <c:v>35.340000000000003</c:v>
                </c:pt>
                <c:pt idx="5">
                  <c:v>41.44</c:v>
                </c:pt>
                <c:pt idx="6">
                  <c:v>47.58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40-4F0E-9172-7EC0BF3917B1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4967808"/>
        <c:axId val="214969728"/>
      </c:scatterChart>
      <c:valAx>
        <c:axId val="2149678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4969728"/>
        <c:crosses val="autoZero"/>
        <c:crossBetween val="midCat"/>
        <c:majorUnit val="20"/>
      </c:valAx>
      <c:valAx>
        <c:axId val="214969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9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9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49678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r>
              <a:rPr lang="en-US" sz="1800" b="0" i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</a:rPr>
              <a:t>Antioxidant activity (DPPH radical scavenging assay) </a:t>
            </a:r>
            <a:endParaRPr lang="en-US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0.259x + 12.065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DPPH!$I$141:$I$147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DPPH!$J$141:$J$147</c:f>
              <c:numCache>
                <c:formatCode>General</c:formatCode>
                <c:ptCount val="7"/>
                <c:pt idx="0">
                  <c:v>3.21</c:v>
                </c:pt>
                <c:pt idx="1">
                  <c:v>7.45</c:v>
                </c:pt>
                <c:pt idx="2">
                  <c:v>15.64</c:v>
                </c:pt>
                <c:pt idx="3">
                  <c:v>24.25</c:v>
                </c:pt>
                <c:pt idx="4">
                  <c:v>29.69</c:v>
                </c:pt>
                <c:pt idx="5">
                  <c:v>37.950000000000003</c:v>
                </c:pt>
                <c:pt idx="6">
                  <c:v>48.51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39F-4D0A-9E96-B4E1A2E87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602304"/>
        <c:axId val="215604224"/>
      </c:scatterChart>
      <c:valAx>
        <c:axId val="215602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Concentration (</a:t>
                </a:r>
                <a:r>
                  <a:rPr lang="el-GR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μ</a:t>
                </a: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g/ml)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5604224"/>
        <c:crosses val="autoZero"/>
        <c:crossBetween val="midCat"/>
      </c:valAx>
      <c:valAx>
        <c:axId val="21560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</a:rPr>
                  <a:t>% of Inhibtion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5602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SO!$J$65</c:f>
              <c:strCache>
                <c:ptCount val="1"/>
                <c:pt idx="0">
                  <c:v>AA Avg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3.534273840769904E-2"/>
                  <c:y val="-2.588983668708078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0.2966x + 11.852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SO!$I$66:$I$72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SO!$J$66:$J$72</c:f>
              <c:numCache>
                <c:formatCode>General</c:formatCode>
                <c:ptCount val="7"/>
                <c:pt idx="0">
                  <c:v>1.05</c:v>
                </c:pt>
                <c:pt idx="1">
                  <c:v>3.92</c:v>
                </c:pt>
                <c:pt idx="2">
                  <c:v>15.4</c:v>
                </c:pt>
                <c:pt idx="3">
                  <c:v>27.64</c:v>
                </c:pt>
                <c:pt idx="4">
                  <c:v>34.130000000000003</c:v>
                </c:pt>
                <c:pt idx="5">
                  <c:v>42.59</c:v>
                </c:pt>
                <c:pt idx="6">
                  <c:v>52.41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D2F-4D0E-BF4A-1D8AFFC97B8D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5022208"/>
        <c:axId val="218768128"/>
      </c:scatterChart>
      <c:valAx>
        <c:axId val="2150222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768128"/>
        <c:crosses val="autoZero"/>
        <c:crossBetween val="midCat"/>
        <c:majorUnit val="20"/>
      </c:valAx>
      <c:valAx>
        <c:axId val="218768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022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of Ascorbic acid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SO!$U$7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1.033242358649392E-2"/>
                  <c:y val="-4.586800562973106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0.7461x + 36.687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SO!$T$8:$T$12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SO!$U$8:$U$12</c:f>
              <c:numCache>
                <c:formatCode>General</c:formatCode>
                <c:ptCount val="5"/>
                <c:pt idx="0">
                  <c:v>29.17</c:v>
                </c:pt>
                <c:pt idx="1">
                  <c:v>51.89</c:v>
                </c:pt>
                <c:pt idx="2">
                  <c:v>52.25</c:v>
                </c:pt>
                <c:pt idx="3">
                  <c:v>73.11</c:v>
                </c:pt>
                <c:pt idx="4">
                  <c:v>92.66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E6-443F-8B09-E811094C0DF1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798336"/>
        <c:axId val="218800512"/>
      </c:scatterChart>
      <c:valAx>
        <c:axId val="2187983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800512"/>
        <c:crosses val="autoZero"/>
        <c:crossBetween val="midCat"/>
        <c:majorUnit val="10"/>
      </c:valAx>
      <c:valAx>
        <c:axId val="218800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7983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of Ascorbic acid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SO!$AF$7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4240582059595492E-2"/>
                  <c:y val="-4.771745101629738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0.6633x + 45.211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SO!$AE$8:$AE$12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SO!$AF$8:$AF$12</c:f>
              <c:numCache>
                <c:formatCode>General</c:formatCode>
                <c:ptCount val="5"/>
                <c:pt idx="0">
                  <c:v>37.69</c:v>
                </c:pt>
                <c:pt idx="1">
                  <c:v>53.03</c:v>
                </c:pt>
                <c:pt idx="2">
                  <c:v>68.39</c:v>
                </c:pt>
                <c:pt idx="3">
                  <c:v>75.12</c:v>
                </c:pt>
                <c:pt idx="4">
                  <c:v>94.64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CE7-4C35-8317-450FDAB3532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847104"/>
        <c:axId val="218857472"/>
      </c:scatterChart>
      <c:valAx>
        <c:axId val="21884710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857472"/>
        <c:crosses val="autoZero"/>
        <c:crossBetween val="midCat"/>
      </c:valAx>
      <c:valAx>
        <c:axId val="218857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8471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SO!$V$33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2.5420616540579487E-2"/>
                  <c:y val="-1.195748490622345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0.3029x + 14.005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SO!$U$34:$U$40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SO!$V$34:$V$40</c:f>
              <c:numCache>
                <c:formatCode>General</c:formatCode>
                <c:ptCount val="7"/>
                <c:pt idx="0">
                  <c:v>0.65</c:v>
                </c:pt>
                <c:pt idx="1">
                  <c:v>9.34</c:v>
                </c:pt>
                <c:pt idx="2">
                  <c:v>18.53</c:v>
                </c:pt>
                <c:pt idx="3">
                  <c:v>27.91</c:v>
                </c:pt>
                <c:pt idx="4">
                  <c:v>35.53</c:v>
                </c:pt>
                <c:pt idx="5">
                  <c:v>47.34</c:v>
                </c:pt>
                <c:pt idx="6">
                  <c:v>54.9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F2E-48A7-9577-8C67514BECBB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888832"/>
        <c:axId val="218907392"/>
      </c:scatterChart>
      <c:valAx>
        <c:axId val="2188888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907392"/>
        <c:crosses val="autoZero"/>
        <c:crossBetween val="midCat"/>
      </c:valAx>
      <c:valAx>
        <c:axId val="218907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888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SO!$AG$33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0.305x + 14.778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SO!$AF$34:$AF$40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SO!$AG$34:$AG$40</c:f>
              <c:numCache>
                <c:formatCode>General</c:formatCode>
                <c:ptCount val="7"/>
                <c:pt idx="0">
                  <c:v>1.45</c:v>
                </c:pt>
                <c:pt idx="1">
                  <c:v>10.49</c:v>
                </c:pt>
                <c:pt idx="2">
                  <c:v>19.23</c:v>
                </c:pt>
                <c:pt idx="3">
                  <c:v>28.37</c:v>
                </c:pt>
                <c:pt idx="4">
                  <c:v>36.06</c:v>
                </c:pt>
                <c:pt idx="5">
                  <c:v>48.83</c:v>
                </c:pt>
                <c:pt idx="6">
                  <c:v>55.87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3E0-42B7-9B42-7C4230AF22F4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8938368"/>
        <c:axId val="218944640"/>
      </c:scatterChart>
      <c:valAx>
        <c:axId val="2189383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944640"/>
        <c:crosses val="autoZero"/>
        <c:crossBetween val="midCat"/>
      </c:valAx>
      <c:valAx>
        <c:axId val="218944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89383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SO!$U$65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4.6366649424296413E-2"/>
                  <c:y val="-3.934087709235021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0.2994x + 10.985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SO!$T$66:$T$72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SO!$U$66:$U$72</c:f>
              <c:numCache>
                <c:formatCode>General</c:formatCode>
                <c:ptCount val="7"/>
                <c:pt idx="0">
                  <c:v>0.75</c:v>
                </c:pt>
                <c:pt idx="1">
                  <c:v>2.83</c:v>
                </c:pt>
                <c:pt idx="2">
                  <c:v>14.11</c:v>
                </c:pt>
                <c:pt idx="3">
                  <c:v>26.65</c:v>
                </c:pt>
                <c:pt idx="4">
                  <c:v>33.83</c:v>
                </c:pt>
                <c:pt idx="5">
                  <c:v>41.79</c:v>
                </c:pt>
                <c:pt idx="6">
                  <c:v>52.01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F20-481A-8D7D-8E3FB9BB7767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9323392"/>
        <c:axId val="219337856"/>
      </c:scatterChart>
      <c:valAx>
        <c:axId val="2193233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337856"/>
        <c:crosses val="autoZero"/>
        <c:crossBetween val="midCat"/>
      </c:valAx>
      <c:valAx>
        <c:axId val="219337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323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SO!$AG$65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1.6190870877982357E-2"/>
                  <c:y val="-3.486932211649439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0.2938x + 12.72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SO!$AF$66:$AF$72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SO!$AG$66:$AG$72</c:f>
              <c:numCache>
                <c:formatCode>General</c:formatCode>
                <c:ptCount val="7"/>
                <c:pt idx="0">
                  <c:v>1.35</c:v>
                </c:pt>
                <c:pt idx="1">
                  <c:v>5.01</c:v>
                </c:pt>
                <c:pt idx="2">
                  <c:v>16.690000000000001</c:v>
                </c:pt>
                <c:pt idx="3">
                  <c:v>28.63</c:v>
                </c:pt>
                <c:pt idx="4">
                  <c:v>34.44</c:v>
                </c:pt>
                <c:pt idx="5">
                  <c:v>43.39</c:v>
                </c:pt>
                <c:pt idx="6">
                  <c:v>52.81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9D-49AB-8456-98AD22025780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9434368"/>
        <c:axId val="219444736"/>
      </c:scatterChart>
      <c:valAx>
        <c:axId val="2194343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444736"/>
        <c:crosses val="autoZero"/>
        <c:crossBetween val="midCat"/>
      </c:valAx>
      <c:valAx>
        <c:axId val="219444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4343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SO!$V$92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3.1014248218972629E-2"/>
                  <c:y val="-2.606350012700025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0.3488x + 20.493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SO!$U$93:$U$99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SO!$V$93:$V$99</c:f>
              <c:numCache>
                <c:formatCode>General</c:formatCode>
                <c:ptCount val="7"/>
                <c:pt idx="0">
                  <c:v>0.42</c:v>
                </c:pt>
                <c:pt idx="1">
                  <c:v>12.88</c:v>
                </c:pt>
                <c:pt idx="2">
                  <c:v>26.84</c:v>
                </c:pt>
                <c:pt idx="3">
                  <c:v>39.83</c:v>
                </c:pt>
                <c:pt idx="4">
                  <c:v>47.67</c:v>
                </c:pt>
                <c:pt idx="5">
                  <c:v>60.92</c:v>
                </c:pt>
                <c:pt idx="6">
                  <c:v>65.62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4C6-4E31-87DF-CE51066AB973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9501312"/>
        <c:axId val="219503232"/>
      </c:scatterChart>
      <c:valAx>
        <c:axId val="21950131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503232"/>
        <c:crosses val="autoZero"/>
        <c:crossBetween val="midCat"/>
        <c:majorUnit val="20"/>
      </c:valAx>
      <c:valAx>
        <c:axId val="219503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5013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SO!$AG$92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6.9852063946552133E-4"/>
                  <c:y val="-3.500748074243162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0.3518x + 21.926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SO!$AF$93:$AF$99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SO!$AG$93:$AG$99</c:f>
              <c:numCache>
                <c:formatCode>General</c:formatCode>
                <c:ptCount val="7"/>
                <c:pt idx="0">
                  <c:v>1.18</c:v>
                </c:pt>
                <c:pt idx="1">
                  <c:v>13.8</c:v>
                </c:pt>
                <c:pt idx="2">
                  <c:v>29.44</c:v>
                </c:pt>
                <c:pt idx="3">
                  <c:v>41.84</c:v>
                </c:pt>
                <c:pt idx="4">
                  <c:v>48.89</c:v>
                </c:pt>
                <c:pt idx="5">
                  <c:v>62.44</c:v>
                </c:pt>
                <c:pt idx="6">
                  <c:v>67.599999999999994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D43-4A06-8126-8974DD51FC86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9535232"/>
        <c:axId val="219549696"/>
      </c:scatterChart>
      <c:valAx>
        <c:axId val="2195352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549696"/>
        <c:crosses val="autoZero"/>
        <c:crossBetween val="midCat"/>
      </c:valAx>
      <c:valAx>
        <c:axId val="2195496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535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SO!$V$122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2.5242147150960969E-2"/>
                  <c:y val="-1.536723163841807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0.3311x + 18.517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SO!$U$123:$U$129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SO!$V$123:$V$129</c:f>
              <c:numCache>
                <c:formatCode>General</c:formatCode>
                <c:ptCount val="7"/>
                <c:pt idx="0">
                  <c:v>0.77</c:v>
                </c:pt>
                <c:pt idx="1">
                  <c:v>11.04</c:v>
                </c:pt>
                <c:pt idx="2">
                  <c:v>27.61</c:v>
                </c:pt>
                <c:pt idx="3">
                  <c:v>35.31</c:v>
                </c:pt>
                <c:pt idx="4">
                  <c:v>41.27</c:v>
                </c:pt>
                <c:pt idx="5">
                  <c:v>56.36</c:v>
                </c:pt>
                <c:pt idx="6">
                  <c:v>62.38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B1B-44EC-885F-E12AD6227355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9577344"/>
        <c:axId val="219579520"/>
      </c:scatterChart>
      <c:valAx>
        <c:axId val="21957734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579520"/>
        <c:crosses val="autoZero"/>
        <c:crossBetween val="midCat"/>
        <c:majorUnit val="20"/>
      </c:valAx>
      <c:valAx>
        <c:axId val="219579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5773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of Ascorbic acid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DPPH!$U$8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6613647241990543E-2"/>
                  <c:y val="-2.583582802948353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0.935x + 26.306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DPPH!$T$9:$T$13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DPPH!$U$9:$U$13</c:f>
              <c:numCache>
                <c:formatCode>General</c:formatCode>
                <c:ptCount val="5"/>
                <c:pt idx="0">
                  <c:v>18.53</c:v>
                </c:pt>
                <c:pt idx="1">
                  <c:v>30.57</c:v>
                </c:pt>
                <c:pt idx="2">
                  <c:v>57.79</c:v>
                </c:pt>
                <c:pt idx="3">
                  <c:v>76.78</c:v>
                </c:pt>
                <c:pt idx="4">
                  <c:v>92.79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0F4-4F25-81A2-E94D7000F3C5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5622400"/>
        <c:axId val="215624320"/>
      </c:scatterChart>
      <c:valAx>
        <c:axId val="21562240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624320"/>
        <c:crosses val="autoZero"/>
        <c:crossBetween val="midCat"/>
        <c:majorUnit val="10"/>
      </c:valAx>
      <c:valAx>
        <c:axId val="215624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6224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SO!$AG$122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5.2754899890387267E-4"/>
                  <c:y val="-1.486338797814207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0.3199x + 21.32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SO!$AF$123:$AF$129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SO!$AG$123:$AG$129</c:f>
              <c:numCache>
                <c:formatCode>General</c:formatCode>
                <c:ptCount val="7"/>
                <c:pt idx="0">
                  <c:v>5.57</c:v>
                </c:pt>
                <c:pt idx="1">
                  <c:v>15.74</c:v>
                </c:pt>
                <c:pt idx="2">
                  <c:v>28.37</c:v>
                </c:pt>
                <c:pt idx="3">
                  <c:v>36.18</c:v>
                </c:pt>
                <c:pt idx="4">
                  <c:v>43.41</c:v>
                </c:pt>
                <c:pt idx="5">
                  <c:v>57.42</c:v>
                </c:pt>
                <c:pt idx="6">
                  <c:v>64.099999999999994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F68-42EA-852A-3A6B3E25067A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9742592"/>
        <c:axId val="219744512"/>
      </c:scatterChart>
      <c:valAx>
        <c:axId val="2197425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744512"/>
        <c:crosses val="autoZero"/>
        <c:crossBetween val="midCat"/>
      </c:valAx>
      <c:valAx>
        <c:axId val="219744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7425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SO!$V$153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0.2657x + 12.111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SO!$U$154:$U$160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SO!$V$154:$V$160</c:f>
              <c:numCache>
                <c:formatCode>General</c:formatCode>
                <c:ptCount val="7"/>
                <c:pt idx="0">
                  <c:v>0.57699999999999996</c:v>
                </c:pt>
                <c:pt idx="1">
                  <c:v>6.96</c:v>
                </c:pt>
                <c:pt idx="2">
                  <c:v>11.04</c:v>
                </c:pt>
                <c:pt idx="3">
                  <c:v>27.74</c:v>
                </c:pt>
                <c:pt idx="4">
                  <c:v>35.19</c:v>
                </c:pt>
                <c:pt idx="5">
                  <c:v>40.200000000000003</c:v>
                </c:pt>
                <c:pt idx="6">
                  <c:v>47.43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172-4091-B9F8-1572605B973E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9775744"/>
        <c:axId val="219777664"/>
      </c:scatterChart>
      <c:valAx>
        <c:axId val="21977574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777664"/>
        <c:crosses val="autoZero"/>
        <c:crossBetween val="midCat"/>
      </c:valAx>
      <c:valAx>
        <c:axId val="219777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775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(SO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SO!$AG$153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0.2649x + 13.202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SO!$AF$154:$AF$160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SO!$AG$154:$AG$160</c:f>
              <c:numCache>
                <c:formatCode>General</c:formatCode>
                <c:ptCount val="7"/>
                <c:pt idx="0">
                  <c:v>1.03</c:v>
                </c:pt>
                <c:pt idx="1">
                  <c:v>7.43</c:v>
                </c:pt>
                <c:pt idx="2">
                  <c:v>12.01</c:v>
                </c:pt>
                <c:pt idx="3">
                  <c:v>30.16</c:v>
                </c:pt>
                <c:pt idx="4">
                  <c:v>35.49</c:v>
                </c:pt>
                <c:pt idx="5">
                  <c:v>42.67</c:v>
                </c:pt>
                <c:pt idx="6">
                  <c:v>47.73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B0-48CB-A6A3-225130DCCBC7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9829376"/>
        <c:axId val="219831296"/>
      </c:scatterChart>
      <c:valAx>
        <c:axId val="21982937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831296"/>
        <c:crosses val="autoZero"/>
        <c:crossBetween val="midCat"/>
      </c:valAx>
      <c:valAx>
        <c:axId val="219831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829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of Ascorbic acid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Hydroxyl!$J$5</c:f>
              <c:strCache>
                <c:ptCount val="1"/>
                <c:pt idx="0">
                  <c:v>AA Avg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8.6926071741032368E-2"/>
                  <c:y val="-2.500000000000000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0.6675x + 38.92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Hydroxyl!$I$6:$I$10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Hydroxyl!$J$6:$J$10</c:f>
              <c:numCache>
                <c:formatCode>General</c:formatCode>
                <c:ptCount val="5"/>
                <c:pt idx="0">
                  <c:v>33.1</c:v>
                </c:pt>
                <c:pt idx="1">
                  <c:v>47.06</c:v>
                </c:pt>
                <c:pt idx="2">
                  <c:v>57.2</c:v>
                </c:pt>
                <c:pt idx="3">
                  <c:v>72.83</c:v>
                </c:pt>
                <c:pt idx="4">
                  <c:v>87.87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37E-4852-88A2-11A8867CB8C2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9158016"/>
        <c:axId val="219159936"/>
      </c:scatterChart>
      <c:valAx>
        <c:axId val="21915801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159936"/>
        <c:crosses val="autoZero"/>
        <c:crossBetween val="midCat"/>
      </c:valAx>
      <c:valAx>
        <c:axId val="219159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158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Hydroxyl!$J$27</c:f>
              <c:strCache>
                <c:ptCount val="1"/>
                <c:pt idx="0">
                  <c:v>AA Avg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0.2427x + 8.9084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Hydroxyl!$I$28:$I$34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Hydroxyl!$J$28:$J$34</c:f>
              <c:numCache>
                <c:formatCode>General</c:formatCode>
                <c:ptCount val="7"/>
                <c:pt idx="0">
                  <c:v>0.59</c:v>
                </c:pt>
                <c:pt idx="1">
                  <c:v>2.16</c:v>
                </c:pt>
                <c:pt idx="2">
                  <c:v>10.77</c:v>
                </c:pt>
                <c:pt idx="3">
                  <c:v>15.6</c:v>
                </c:pt>
                <c:pt idx="4">
                  <c:v>34</c:v>
                </c:pt>
                <c:pt idx="5">
                  <c:v>36.1</c:v>
                </c:pt>
                <c:pt idx="6">
                  <c:v>40.21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15E-44A9-8AD2-2DAA3783E040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9191168"/>
        <c:axId val="219197440"/>
      </c:scatterChart>
      <c:valAx>
        <c:axId val="2191911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197440"/>
        <c:crosses val="autoZero"/>
        <c:crossBetween val="midCat"/>
        <c:majorUnit val="20"/>
      </c:valAx>
      <c:valAx>
        <c:axId val="219197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1911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Hydroxyl!$J$55</c:f>
              <c:strCache>
                <c:ptCount val="1"/>
                <c:pt idx="0">
                  <c:v>AA Avg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0.1876x + 8.4901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Hydroxyl!$I$56:$I$62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Hydroxyl!$J$56:$J$62</c:f>
              <c:numCache>
                <c:formatCode>General</c:formatCode>
                <c:ptCount val="7"/>
                <c:pt idx="0">
                  <c:v>0.71</c:v>
                </c:pt>
                <c:pt idx="1">
                  <c:v>5.49</c:v>
                </c:pt>
                <c:pt idx="2">
                  <c:v>11.03</c:v>
                </c:pt>
                <c:pt idx="3">
                  <c:v>16.61</c:v>
                </c:pt>
                <c:pt idx="4">
                  <c:v>22.85</c:v>
                </c:pt>
                <c:pt idx="5">
                  <c:v>28.2</c:v>
                </c:pt>
                <c:pt idx="6">
                  <c:v>34.11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876-42EE-9DE1-B8DCEF299FA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9257088"/>
        <c:axId val="219263360"/>
      </c:scatterChart>
      <c:valAx>
        <c:axId val="2192570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263360"/>
        <c:crosses val="autoZero"/>
        <c:crossBetween val="midCat"/>
        <c:majorUnit val="20"/>
      </c:valAx>
      <c:valAx>
        <c:axId val="219263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257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Hydroxyl!$J$83</c:f>
              <c:strCache>
                <c:ptCount val="1"/>
                <c:pt idx="0">
                  <c:v>AA Avg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7009405074365705E-2"/>
                  <c:y val="-2.244932925051035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0.2637x + 17.588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Hydroxyl!$I$84:$I$90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Hydroxyl!$J$84:$J$90</c:f>
              <c:numCache>
                <c:formatCode>General</c:formatCode>
                <c:ptCount val="7"/>
                <c:pt idx="0">
                  <c:v>2.0499999999999998</c:v>
                </c:pt>
                <c:pt idx="1">
                  <c:v>16.34</c:v>
                </c:pt>
                <c:pt idx="2">
                  <c:v>22.67</c:v>
                </c:pt>
                <c:pt idx="3">
                  <c:v>30</c:v>
                </c:pt>
                <c:pt idx="4">
                  <c:v>37.22</c:v>
                </c:pt>
                <c:pt idx="5">
                  <c:v>44.85</c:v>
                </c:pt>
                <c:pt idx="6">
                  <c:v>53.72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B88-4A69-AEB1-45F5EAC41AED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604288"/>
        <c:axId val="220610560"/>
      </c:scatterChart>
      <c:valAx>
        <c:axId val="2206042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610560"/>
        <c:crosses val="autoZero"/>
        <c:crossBetween val="midCat"/>
        <c:majorUnit val="20"/>
      </c:valAx>
      <c:valAx>
        <c:axId val="220610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6042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Hydroxyl!$J$111</c:f>
              <c:strCache>
                <c:ptCount val="1"/>
                <c:pt idx="0">
                  <c:v>AA Avg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-3.534273840769904E-2"/>
                  <c:y val="-1.574074074074073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0.2626x + 11.957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Hydroxyl!$I$112:$I$118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Hydroxyl!$J$112:$J$118</c:f>
              <c:numCache>
                <c:formatCode>General</c:formatCode>
                <c:ptCount val="7"/>
                <c:pt idx="0">
                  <c:v>0.52</c:v>
                </c:pt>
                <c:pt idx="1">
                  <c:v>6.09</c:v>
                </c:pt>
                <c:pt idx="2">
                  <c:v>14.55</c:v>
                </c:pt>
                <c:pt idx="3">
                  <c:v>24.57</c:v>
                </c:pt>
                <c:pt idx="4">
                  <c:v>33.78</c:v>
                </c:pt>
                <c:pt idx="5">
                  <c:v>40.89</c:v>
                </c:pt>
                <c:pt idx="6">
                  <c:v>46.68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E4D-481A-9B1D-D537C6B1948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657920"/>
        <c:axId val="220336512"/>
      </c:scatterChart>
      <c:valAx>
        <c:axId val="2206579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336512"/>
        <c:crosses val="autoZero"/>
        <c:crossBetween val="midCat"/>
        <c:majorUnit val="20"/>
      </c:valAx>
      <c:valAx>
        <c:axId val="220336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6579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Hydroxyl!$J$140</c:f>
              <c:strCache>
                <c:ptCount val="1"/>
                <c:pt idx="0">
                  <c:v>AA Avg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1.889238845144357E-2"/>
                  <c:y val="-2.579323417906095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0.1833x + 10.494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Hydroxyl!$I$141:$I$147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Hydroxyl!$J$141:$J$147</c:f>
              <c:numCache>
                <c:formatCode>General</c:formatCode>
                <c:ptCount val="7"/>
                <c:pt idx="0">
                  <c:v>1.72</c:v>
                </c:pt>
                <c:pt idx="1">
                  <c:v>9.27</c:v>
                </c:pt>
                <c:pt idx="2">
                  <c:v>13.65</c:v>
                </c:pt>
                <c:pt idx="3">
                  <c:v>17.88</c:v>
                </c:pt>
                <c:pt idx="4">
                  <c:v>23.41</c:v>
                </c:pt>
                <c:pt idx="5">
                  <c:v>30.11</c:v>
                </c:pt>
                <c:pt idx="6">
                  <c:v>35.61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AA6-4698-8F75-DEC78F4556E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366720"/>
        <c:axId val="220372992"/>
      </c:scatterChart>
      <c:valAx>
        <c:axId val="2203667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372992"/>
        <c:crosses val="autoZero"/>
        <c:crossBetween val="midCat"/>
        <c:majorUnit val="20"/>
      </c:valAx>
      <c:valAx>
        <c:axId val="220372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3667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of Ascorbic acid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Hydroxyl!$U$5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8.9898512685914256E-2"/>
                  <c:y val="-2.037037037037037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0.67x + 38.266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Hydroxyl!$T$6:$T$10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Hydroxyl!$U$6:$U$10</c:f>
              <c:numCache>
                <c:formatCode>General</c:formatCode>
                <c:ptCount val="5"/>
                <c:pt idx="0">
                  <c:v>32.979999999999997</c:v>
                </c:pt>
                <c:pt idx="1">
                  <c:v>46.19</c:v>
                </c:pt>
                <c:pt idx="2">
                  <c:v>56.15</c:v>
                </c:pt>
                <c:pt idx="3">
                  <c:v>72.39</c:v>
                </c:pt>
                <c:pt idx="4">
                  <c:v>87.47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7F0-4E04-9D54-3AD7F4F4812B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403200"/>
        <c:axId val="220405120"/>
      </c:scatterChart>
      <c:valAx>
        <c:axId val="22040320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405120"/>
        <c:crosses val="autoZero"/>
        <c:crossBetween val="midCat"/>
        <c:majorUnit val="10"/>
      </c:valAx>
      <c:valAx>
        <c:axId val="220405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403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of Ascorbic acid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DPPH!$AG$8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45315742103079E-2"/>
                  <c:y val="-2.327209098862642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0.938x + 26.808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DPPH!$AF$9:$AF$13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DPPH!$AG$9:$AG$13</c:f>
              <c:numCache>
                <c:formatCode>General</c:formatCode>
                <c:ptCount val="5"/>
                <c:pt idx="0">
                  <c:v>18.96</c:v>
                </c:pt>
                <c:pt idx="1">
                  <c:v>31.01</c:v>
                </c:pt>
                <c:pt idx="2">
                  <c:v>58.44</c:v>
                </c:pt>
                <c:pt idx="3">
                  <c:v>77.59</c:v>
                </c:pt>
                <c:pt idx="4">
                  <c:v>93.43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015-4741-A24A-F50E2AFBFA68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5748992"/>
        <c:axId val="215750912"/>
      </c:scatterChart>
      <c:valAx>
        <c:axId val="2157489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750912"/>
        <c:crosses val="autoZero"/>
        <c:crossBetween val="midCat"/>
        <c:majorUnit val="10"/>
      </c:valAx>
      <c:valAx>
        <c:axId val="215750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748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of Ascorbic acid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Hydroxyl!$AF$5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0.10679433713233265"/>
                  <c:y val="-1.585081585081585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0.6593x + 39.916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Hydroxyl!$AE$6:$AE$10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xVal>
          <c:yVal>
            <c:numRef>
              <c:f>Hydroxyl!$AF$6:$AF$10</c:f>
              <c:numCache>
                <c:formatCode>General</c:formatCode>
                <c:ptCount val="5"/>
                <c:pt idx="0">
                  <c:v>34.049999999999997</c:v>
                </c:pt>
                <c:pt idx="1">
                  <c:v>47.93</c:v>
                </c:pt>
                <c:pt idx="2">
                  <c:v>58.24</c:v>
                </c:pt>
                <c:pt idx="3">
                  <c:v>73.28</c:v>
                </c:pt>
                <c:pt idx="4">
                  <c:v>88.28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861-4002-821E-E397DBBBA652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472448"/>
        <c:axId val="220474368"/>
      </c:scatterChart>
      <c:valAx>
        <c:axId val="2204724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474368"/>
        <c:crosses val="autoZero"/>
        <c:crossBetween val="midCat"/>
      </c:valAx>
      <c:valAx>
        <c:axId val="220474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4724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Hydroxyl!$U$27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0.10200901412277255"/>
                  <c:y val="-1.596244131455399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0.2433x + 8.3882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Hydroxyl!$T$28:$T$34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Hydroxyl!$U$28:$U$34</c:f>
              <c:numCache>
                <c:formatCode>General</c:formatCode>
                <c:ptCount val="7"/>
                <c:pt idx="0">
                  <c:v>0.36</c:v>
                </c:pt>
                <c:pt idx="1">
                  <c:v>1.48</c:v>
                </c:pt>
                <c:pt idx="2">
                  <c:v>9.9600000000000009</c:v>
                </c:pt>
                <c:pt idx="3">
                  <c:v>15.3</c:v>
                </c:pt>
                <c:pt idx="4">
                  <c:v>33.409999999999997</c:v>
                </c:pt>
                <c:pt idx="5">
                  <c:v>35.700000000000003</c:v>
                </c:pt>
                <c:pt idx="6">
                  <c:v>39.76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F6-47B0-8897-9E996DA3201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513408"/>
        <c:axId val="220515328"/>
      </c:scatterChart>
      <c:valAx>
        <c:axId val="2205134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515328"/>
        <c:crosses val="autoZero"/>
        <c:crossBetween val="midCat"/>
      </c:valAx>
      <c:valAx>
        <c:axId val="220515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513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Hydroxyl!$AG$27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5.4089675463534923E-2"/>
                  <c:y val="-2.067111402741323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0.2422x + 9.431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Hydroxyl!$AF$28:$AF$34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Hydroxyl!$AG$28:$AG$34</c:f>
              <c:numCache>
                <c:formatCode>General</c:formatCode>
                <c:ptCount val="7"/>
                <c:pt idx="0">
                  <c:v>0.83</c:v>
                </c:pt>
                <c:pt idx="1">
                  <c:v>2.85</c:v>
                </c:pt>
                <c:pt idx="2">
                  <c:v>11.58</c:v>
                </c:pt>
                <c:pt idx="3">
                  <c:v>15.89</c:v>
                </c:pt>
                <c:pt idx="4">
                  <c:v>34.6</c:v>
                </c:pt>
                <c:pt idx="5">
                  <c:v>36.49</c:v>
                </c:pt>
                <c:pt idx="6">
                  <c:v>40.67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807-48A7-9286-3B16A5517660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685056"/>
        <c:axId val="220686976"/>
      </c:scatterChart>
      <c:valAx>
        <c:axId val="2206850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686976"/>
        <c:crosses val="autoZero"/>
        <c:crossBetween val="midCat"/>
      </c:valAx>
      <c:valAx>
        <c:axId val="220686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685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Hydroxyl!$U$55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0.10002574773210383"/>
                  <c:y val="-2.087781731909845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0.188x + 7.9621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Hydroxyl!$T$56:$T$62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Hydroxyl!$U$56:$U$62</c:f>
              <c:numCache>
                <c:formatCode>General</c:formatCode>
                <c:ptCount val="7"/>
                <c:pt idx="0">
                  <c:v>0.53</c:v>
                </c:pt>
                <c:pt idx="1">
                  <c:v>5.01</c:v>
                </c:pt>
                <c:pt idx="2">
                  <c:v>10.35</c:v>
                </c:pt>
                <c:pt idx="3">
                  <c:v>15.9</c:v>
                </c:pt>
                <c:pt idx="4">
                  <c:v>22.2</c:v>
                </c:pt>
                <c:pt idx="5">
                  <c:v>27.75</c:v>
                </c:pt>
                <c:pt idx="6">
                  <c:v>33.67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200-496E-8F7D-95B0A657CAC8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729344"/>
        <c:axId val="220731264"/>
      </c:scatterChart>
      <c:valAx>
        <c:axId val="22072934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731264"/>
        <c:crosses val="autoZero"/>
        <c:crossBetween val="midCat"/>
      </c:valAx>
      <c:valAx>
        <c:axId val="2207312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7293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Hydroxyl!$AG$55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0.11589829396325459"/>
                  <c:y val="-1.144393409157188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0.1874x + 9.0192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Hydroxyl!$AF$56:$AF$62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Hydroxyl!$AG$56:$AG$62</c:f>
              <c:numCache>
                <c:formatCode>General</c:formatCode>
                <c:ptCount val="7"/>
                <c:pt idx="0">
                  <c:v>0.88</c:v>
                </c:pt>
                <c:pt idx="1">
                  <c:v>5.98</c:v>
                </c:pt>
                <c:pt idx="2">
                  <c:v>11.72</c:v>
                </c:pt>
                <c:pt idx="3">
                  <c:v>17.309999999999999</c:v>
                </c:pt>
                <c:pt idx="4">
                  <c:v>23.51</c:v>
                </c:pt>
                <c:pt idx="5">
                  <c:v>28.66</c:v>
                </c:pt>
                <c:pt idx="6">
                  <c:v>34.56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E7F-4B5C-B989-767BED2600A2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757376"/>
        <c:axId val="220784128"/>
      </c:scatterChart>
      <c:valAx>
        <c:axId val="22075737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784128"/>
        <c:crosses val="autoZero"/>
        <c:crossBetween val="midCat"/>
        <c:majorUnit val="20"/>
      </c:valAx>
      <c:valAx>
        <c:axId val="220784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757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Hydroxyl!$U$83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3.4015176415107824E-2"/>
                  <c:y val="-2.943022747156605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0.2614x + 16.993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Hydroxyl!$T$84:$T$90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Hydroxyl!$U$84:$U$90</c:f>
              <c:numCache>
                <c:formatCode>General</c:formatCode>
                <c:ptCount val="7"/>
                <c:pt idx="0">
                  <c:v>1.32</c:v>
                </c:pt>
                <c:pt idx="1">
                  <c:v>16</c:v>
                </c:pt>
                <c:pt idx="2">
                  <c:v>21.93</c:v>
                </c:pt>
                <c:pt idx="3">
                  <c:v>29.49</c:v>
                </c:pt>
                <c:pt idx="4">
                  <c:v>36.380000000000003</c:v>
                </c:pt>
                <c:pt idx="5">
                  <c:v>44.04</c:v>
                </c:pt>
                <c:pt idx="6">
                  <c:v>52.8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8F2-4B96-8806-3B60FDF426E8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814336"/>
        <c:axId val="220816512"/>
      </c:scatterChart>
      <c:valAx>
        <c:axId val="2208143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816512"/>
        <c:crosses val="autoZero"/>
        <c:crossBetween val="midCat"/>
      </c:valAx>
      <c:valAx>
        <c:axId val="220816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8143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Hydroxyl!$AG$83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3.0474068648395695E-2"/>
                  <c:y val="-1.55293088363954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0.266x + 18.183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Hydroxyl!$AF$84:$AF$90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Hydroxyl!$AG$84:$AG$90</c:f>
              <c:numCache>
                <c:formatCode>General</c:formatCode>
                <c:ptCount val="7"/>
                <c:pt idx="0">
                  <c:v>2.78</c:v>
                </c:pt>
                <c:pt idx="1">
                  <c:v>16.690000000000001</c:v>
                </c:pt>
                <c:pt idx="2">
                  <c:v>23.4</c:v>
                </c:pt>
                <c:pt idx="3">
                  <c:v>30.5</c:v>
                </c:pt>
                <c:pt idx="4">
                  <c:v>38.06</c:v>
                </c:pt>
                <c:pt idx="5">
                  <c:v>45.66</c:v>
                </c:pt>
                <c:pt idx="6">
                  <c:v>54.63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FDB-408B-A100-E26E2ED8B1BC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924544"/>
        <c:axId val="220934912"/>
      </c:scatterChart>
      <c:valAx>
        <c:axId val="22092454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934912"/>
        <c:crosses val="autoZero"/>
        <c:crossBetween val="midCat"/>
      </c:valAx>
      <c:valAx>
        <c:axId val="220934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924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Hydroxyl!$U$111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3.0331302926756797E-2"/>
                  <c:y val="-1.574074074074073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0.2624x + 11.643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Hydroxyl!$T$112:$T$118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Hydroxyl!$U$112:$U$118</c:f>
              <c:numCache>
                <c:formatCode>General</c:formatCode>
                <c:ptCount val="7"/>
                <c:pt idx="0">
                  <c:v>0.18</c:v>
                </c:pt>
                <c:pt idx="1">
                  <c:v>5.86</c:v>
                </c:pt>
                <c:pt idx="2">
                  <c:v>14.27</c:v>
                </c:pt>
                <c:pt idx="3">
                  <c:v>24.24</c:v>
                </c:pt>
                <c:pt idx="4">
                  <c:v>33.33</c:v>
                </c:pt>
                <c:pt idx="5">
                  <c:v>40.6</c:v>
                </c:pt>
                <c:pt idx="6">
                  <c:v>46.35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B73-461C-8EEE-8E56DAD714E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0969216"/>
        <c:axId val="220975488"/>
      </c:scatterChart>
      <c:valAx>
        <c:axId val="22096921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975488"/>
        <c:crosses val="autoZero"/>
        <c:crossBetween val="midCat"/>
      </c:valAx>
      <c:valAx>
        <c:axId val="220975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09692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Hydroxyl!$AG$111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3.7328349520512269E-2"/>
                  <c:y val="-1.851851851851851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0.2628x + 12.273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Hydroxyl!$AF$112:$AF$118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Hydroxyl!$AG$112:$AG$118</c:f>
              <c:numCache>
                <c:formatCode>General</c:formatCode>
                <c:ptCount val="7"/>
                <c:pt idx="0">
                  <c:v>0.86</c:v>
                </c:pt>
                <c:pt idx="1">
                  <c:v>6.33</c:v>
                </c:pt>
                <c:pt idx="2">
                  <c:v>14.83</c:v>
                </c:pt>
                <c:pt idx="3">
                  <c:v>24.91</c:v>
                </c:pt>
                <c:pt idx="4">
                  <c:v>34.229999999999997</c:v>
                </c:pt>
                <c:pt idx="5">
                  <c:v>41.17</c:v>
                </c:pt>
                <c:pt idx="6">
                  <c:v>47.02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46-4A43-AA6F-F18608487E9B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1079424"/>
        <c:axId val="221093888"/>
      </c:scatterChart>
      <c:valAx>
        <c:axId val="22107942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1093888"/>
        <c:crosses val="autoZero"/>
        <c:crossBetween val="midCat"/>
      </c:valAx>
      <c:valAx>
        <c:axId val="221093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1079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 sz="1800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Hydroxyl!$U$140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7612312097351467E-2"/>
                  <c:y val="-1.341353164187809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0.1826x + 10.017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Hydroxyl!$T$141:$T$147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Hydroxyl!$U$141:$U$147</c:f>
              <c:numCache>
                <c:formatCode>General</c:formatCode>
                <c:ptCount val="7"/>
                <c:pt idx="0">
                  <c:v>1.37</c:v>
                </c:pt>
                <c:pt idx="1">
                  <c:v>8.91</c:v>
                </c:pt>
                <c:pt idx="2">
                  <c:v>12.78</c:v>
                </c:pt>
                <c:pt idx="3">
                  <c:v>17.37</c:v>
                </c:pt>
                <c:pt idx="4">
                  <c:v>23.07</c:v>
                </c:pt>
                <c:pt idx="5">
                  <c:v>29.6</c:v>
                </c:pt>
                <c:pt idx="6">
                  <c:v>34.99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3BD-44BB-8DCF-23F5825FEA67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1120000"/>
        <c:axId val="221121920"/>
      </c:scatterChart>
      <c:valAx>
        <c:axId val="22112000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1121920"/>
        <c:crosses val="autoZero"/>
        <c:crossBetween val="midCat"/>
      </c:valAx>
      <c:valAx>
        <c:axId val="221121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11200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(DPPH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DPPH!$U$33</c:f>
              <c:strCache>
                <c:ptCount val="1"/>
                <c:pt idx="0">
                  <c:v>% of inhibition -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0.2297x + 5.6265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DPPH!$T$34:$T$40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DPPH!$U$34:$U$40</c:f>
              <c:numCache>
                <c:formatCode>General</c:formatCode>
                <c:ptCount val="7"/>
                <c:pt idx="0">
                  <c:v>0.14000000000000001</c:v>
                </c:pt>
                <c:pt idx="1">
                  <c:v>1.01</c:v>
                </c:pt>
                <c:pt idx="2">
                  <c:v>4.8</c:v>
                </c:pt>
                <c:pt idx="3">
                  <c:v>12.3</c:v>
                </c:pt>
                <c:pt idx="4">
                  <c:v>26.22</c:v>
                </c:pt>
                <c:pt idx="5">
                  <c:v>32.21</c:v>
                </c:pt>
                <c:pt idx="6">
                  <c:v>35.630000000000003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A5-4813-AF62-37D14F198303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15789568"/>
        <c:axId val="215791488"/>
      </c:scatterChart>
      <c:valAx>
        <c:axId val="2157895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791488"/>
        <c:crosses val="autoZero"/>
        <c:crossBetween val="midCat"/>
        <c:majorUnit val="20"/>
      </c:valAx>
      <c:valAx>
        <c:axId val="215791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57895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800" b="0" i="0" baseline="0">
                <a:effectLst/>
                <a:latin typeface="Times New Roman" pitchFamily="18" charset="0"/>
                <a:cs typeface="Times New Roman" pitchFamily="18" charset="0"/>
              </a:rPr>
              <a:t>Antioxidant activity (Hydroxyl radical scavenging assay) </a:t>
            </a:r>
            <a:endParaRPr lang="en-US">
              <a:effectLst/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Hydroxyl!$AG$140</c:f>
              <c:strCache>
                <c:ptCount val="1"/>
                <c:pt idx="0">
                  <c:v>% of inhibition + SD value</c:v>
                </c:pt>
              </c:strCache>
            </c:strRef>
          </c:tx>
          <c:dLbls>
            <c:delete val="1"/>
          </c:dLbls>
          <c:trendline>
            <c:trendlineType val="linear"/>
            <c:dispRSqr val="0"/>
            <c:dispEq val="1"/>
            <c:trendlineLbl>
              <c:layout>
                <c:manualLayout>
                  <c:x val="-2.8052984604994551E-2"/>
                  <c:y val="-1.574074074074073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aseline="0">
                        <a:latin typeface="Times New Roman" pitchFamily="18" charset="0"/>
                        <a:cs typeface="Times New Roman" pitchFamily="18" charset="0"/>
                      </a:rPr>
                      <a:t>y = 0.184x + 10.968</a:t>
                    </a:r>
                    <a:endParaRPr lang="en-US" sz="11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Hydroxyl!$AF$141:$AF$147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xVal>
          <c:yVal>
            <c:numRef>
              <c:f>Hydroxyl!$AG$141:$AG$147</c:f>
              <c:numCache>
                <c:formatCode>General</c:formatCode>
                <c:ptCount val="7"/>
                <c:pt idx="0">
                  <c:v>2.06</c:v>
                </c:pt>
                <c:pt idx="1">
                  <c:v>9.6300000000000008</c:v>
                </c:pt>
                <c:pt idx="2">
                  <c:v>14.52</c:v>
                </c:pt>
                <c:pt idx="3">
                  <c:v>18.38</c:v>
                </c:pt>
                <c:pt idx="4">
                  <c:v>23.76</c:v>
                </c:pt>
                <c:pt idx="5">
                  <c:v>30.62</c:v>
                </c:pt>
                <c:pt idx="6">
                  <c:v>36.229999999999997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1F-40F1-AA6A-04836025E460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1168768"/>
        <c:axId val="221170688"/>
      </c:scatterChart>
      <c:valAx>
        <c:axId val="2211687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</a:t>
                </a:r>
                <a:r>
                  <a:rPr lang="el-GR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μ</a:t>
                </a: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1170688"/>
        <c:crosses val="autoZero"/>
        <c:crossBetween val="midCat"/>
      </c:valAx>
      <c:valAx>
        <c:axId val="221170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  <a:latin typeface="Times New Roman" pitchFamily="18" charset="0"/>
                    <a:cs typeface="Times New Roman" pitchFamily="18" charset="0"/>
                  </a:rPr>
                  <a:t>% of Inhibtion 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11687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'[1]Total Phenolic Content'!$H$4</c:f>
              <c:strCache>
                <c:ptCount val="1"/>
                <c:pt idx="0">
                  <c:v>Average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-0.10247069116360455"/>
                  <c:y val="-1.980788859725867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200" baseline="0">
                        <a:latin typeface="Times New Roman" pitchFamily="18" charset="0"/>
                        <a:cs typeface="Times New Roman" pitchFamily="18" charset="0"/>
                      </a:rPr>
                      <a:t>y = 0.0113x + 0.204
R² = 0.9931</a:t>
                    </a:r>
                    <a:endParaRPr lang="en-US" sz="12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trendline>
            <c:trendlineType val="linear"/>
            <c:dispRSqr val="0"/>
            <c:dispEq val="0"/>
          </c:trendline>
          <c:xVal>
            <c:numRef>
              <c:f>'[1]Total Phenolic Content'!$G$5:$G$9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</c:numCache>
            </c:numRef>
          </c:xVal>
          <c:yVal>
            <c:numRef>
              <c:f>'[1]Total Phenolic Content'!$H$5:$H$9</c:f>
              <c:numCache>
                <c:formatCode>General</c:formatCode>
                <c:ptCount val="5"/>
                <c:pt idx="0">
                  <c:v>0.32900000000000001</c:v>
                </c:pt>
                <c:pt idx="1">
                  <c:v>0.432</c:v>
                </c:pt>
                <c:pt idx="2">
                  <c:v>0.52300000000000002</c:v>
                </c:pt>
                <c:pt idx="3">
                  <c:v>0.65</c:v>
                </c:pt>
                <c:pt idx="4">
                  <c:v>0.78700000000000003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8DD3-48FB-AB53-2D52036AF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230592"/>
        <c:axId val="221232512"/>
      </c:scatterChart>
      <c:valAx>
        <c:axId val="221230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Concentration</a:t>
                </a:r>
                <a:r>
                  <a:rPr lang="en-US" sz="1200" baseline="0">
                    <a:latin typeface="Times New Roman" pitchFamily="18" charset="0"/>
                    <a:cs typeface="Times New Roman" pitchFamily="18" charset="0"/>
                  </a:rPr>
                  <a:t> (mg/mL)</a:t>
                </a:r>
                <a:endParaRPr lang="en-US" sz="12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1232512"/>
        <c:crosses val="autoZero"/>
        <c:crossBetween val="midCat"/>
      </c:valAx>
      <c:valAx>
        <c:axId val="221232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Average</a:t>
                </a:r>
                <a:r>
                  <a:rPr lang="en-US" sz="1200" baseline="0">
                    <a:latin typeface="Times New Roman" pitchFamily="18" charset="0"/>
                    <a:cs typeface="Times New Roman" pitchFamily="18" charset="0"/>
                  </a:rPr>
                  <a:t> OD value</a:t>
                </a:r>
                <a:endParaRPr lang="en-US" sz="12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12305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'[1]Total Flavonoid Content'!$H$6</c:f>
              <c:strCache>
                <c:ptCount val="1"/>
                <c:pt idx="0">
                  <c:v>OD Value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-1.0804024496937882E-2"/>
                  <c:y val="-1.293890347039953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200" baseline="0">
                        <a:latin typeface="Times New Roman" pitchFamily="18" charset="0"/>
                        <a:cs typeface="Times New Roman" pitchFamily="18" charset="0"/>
                      </a:rPr>
                      <a:t>y = 0.0117x + 0.1018
R² = 0.9907</a:t>
                    </a:r>
                    <a:endParaRPr lang="en-US" sz="12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'[1]Total Flavonoid Content'!$G$7:$G$11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</c:numCache>
            </c:numRef>
          </c:xVal>
          <c:yVal>
            <c:numRef>
              <c:f>'[1]Total Flavonoid Content'!$H$7:$H$11</c:f>
              <c:numCache>
                <c:formatCode>General</c:formatCode>
                <c:ptCount val="5"/>
                <c:pt idx="0">
                  <c:v>0.219</c:v>
                </c:pt>
                <c:pt idx="1">
                  <c:v>0.32100000000000001</c:v>
                </c:pt>
                <c:pt idx="2">
                  <c:v>0.48299999999999998</c:v>
                </c:pt>
                <c:pt idx="3">
                  <c:v>0.55700000000000005</c:v>
                </c:pt>
                <c:pt idx="4">
                  <c:v>0.68700000000000006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F0A4-472A-8BF3-D28D4260C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955968"/>
        <c:axId val="219957888"/>
      </c:scatterChart>
      <c:valAx>
        <c:axId val="21995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1" i="0" baseline="0">
                    <a:effectLst/>
                    <a:latin typeface="Times New Roman" pitchFamily="18" charset="0"/>
                    <a:cs typeface="Times New Roman" pitchFamily="18" charset="0"/>
                  </a:rPr>
                  <a:t>Concentration (mg/mL)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957888"/>
        <c:crosses val="autoZero"/>
        <c:crossBetween val="midCat"/>
      </c:valAx>
      <c:valAx>
        <c:axId val="219957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1" i="0" baseline="0">
                    <a:effectLst/>
                    <a:latin typeface="Times New Roman" pitchFamily="18" charset="0"/>
                    <a:cs typeface="Times New Roman" pitchFamily="18" charset="0"/>
                  </a:rPr>
                  <a:t>Average OD value</a:t>
                </a:r>
                <a:endParaRPr lang="en-US" sz="1200">
                  <a:effectLst/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99559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chart" Target="../charts/chart38.xml"/><Relationship Id="rId16" Type="http://schemas.openxmlformats.org/officeDocument/2006/relationships/chart" Target="../charts/chart52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10" Type="http://schemas.openxmlformats.org/officeDocument/2006/relationships/chart" Target="../charts/chart46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13" Type="http://schemas.openxmlformats.org/officeDocument/2006/relationships/chart" Target="../charts/chart67.xml"/><Relationship Id="rId18" Type="http://schemas.openxmlformats.org/officeDocument/2006/relationships/chart" Target="../charts/chart7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12" Type="http://schemas.openxmlformats.org/officeDocument/2006/relationships/chart" Target="../charts/chart66.xml"/><Relationship Id="rId17" Type="http://schemas.openxmlformats.org/officeDocument/2006/relationships/chart" Target="../charts/chart71.xml"/><Relationship Id="rId2" Type="http://schemas.openxmlformats.org/officeDocument/2006/relationships/chart" Target="../charts/chart56.xml"/><Relationship Id="rId16" Type="http://schemas.openxmlformats.org/officeDocument/2006/relationships/chart" Target="../charts/chart70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11" Type="http://schemas.openxmlformats.org/officeDocument/2006/relationships/chart" Target="../charts/chart65.xml"/><Relationship Id="rId5" Type="http://schemas.openxmlformats.org/officeDocument/2006/relationships/chart" Target="../charts/chart59.xml"/><Relationship Id="rId15" Type="http://schemas.openxmlformats.org/officeDocument/2006/relationships/chart" Target="../charts/chart69.xml"/><Relationship Id="rId10" Type="http://schemas.openxmlformats.org/officeDocument/2006/relationships/chart" Target="../charts/chart64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Relationship Id="rId14" Type="http://schemas.openxmlformats.org/officeDocument/2006/relationships/chart" Target="../charts/chart6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10" Type="http://schemas.openxmlformats.org/officeDocument/2006/relationships/chart" Target="../charts/chart82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1</xdr:row>
      <xdr:rowOff>123825</xdr:rowOff>
    </xdr:from>
    <xdr:to>
      <xdr:col>18</xdr:col>
      <xdr:colOff>390525</xdr:colOff>
      <xdr:row>17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200025</xdr:colOff>
      <xdr:row>28</xdr:row>
      <xdr:rowOff>28575</xdr:rowOff>
    </xdr:from>
    <xdr:to>
      <xdr:col>18</xdr:col>
      <xdr:colOff>76200</xdr:colOff>
      <xdr:row>43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114300</xdr:colOff>
      <xdr:row>55</xdr:row>
      <xdr:rowOff>76200</xdr:rowOff>
    </xdr:from>
    <xdr:to>
      <xdr:col>18</xdr:col>
      <xdr:colOff>19050</xdr:colOff>
      <xdr:row>70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142875</xdr:colOff>
      <xdr:row>82</xdr:row>
      <xdr:rowOff>76200</xdr:rowOff>
    </xdr:from>
    <xdr:to>
      <xdr:col>17</xdr:col>
      <xdr:colOff>523875</xdr:colOff>
      <xdr:row>97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409575</xdr:colOff>
      <xdr:row>109</xdr:row>
      <xdr:rowOff>142875</xdr:rowOff>
    </xdr:from>
    <xdr:to>
      <xdr:col>18</xdr:col>
      <xdr:colOff>104775</xdr:colOff>
      <xdr:row>124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142875</xdr:colOff>
      <xdr:row>136</xdr:row>
      <xdr:rowOff>123825</xdr:rowOff>
    </xdr:from>
    <xdr:to>
      <xdr:col>17</xdr:col>
      <xdr:colOff>447675</xdr:colOff>
      <xdr:row>151</xdr:row>
      <xdr:rowOff>9525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504824</xdr:colOff>
      <xdr:row>1</xdr:row>
      <xdr:rowOff>171449</xdr:rowOff>
    </xdr:from>
    <xdr:to>
      <xdr:col>30</xdr:col>
      <xdr:colOff>380999</xdr:colOff>
      <xdr:row>17</xdr:row>
      <xdr:rowOff>104774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552449</xdr:colOff>
      <xdr:row>2</xdr:row>
      <xdr:rowOff>28574</xdr:rowOff>
    </xdr:from>
    <xdr:to>
      <xdr:col>42</xdr:col>
      <xdr:colOff>314324</xdr:colOff>
      <xdr:row>17</xdr:row>
      <xdr:rowOff>171449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438149</xdr:colOff>
      <xdr:row>28</xdr:row>
      <xdr:rowOff>47624</xdr:rowOff>
    </xdr:from>
    <xdr:to>
      <xdr:col>31</xdr:col>
      <xdr:colOff>371474</xdr:colOff>
      <xdr:row>46</xdr:row>
      <xdr:rowOff>57149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36</xdr:col>
      <xdr:colOff>57149</xdr:colOff>
      <xdr:row>28</xdr:row>
      <xdr:rowOff>161925</xdr:rowOff>
    </xdr:from>
    <xdr:to>
      <xdr:col>44</xdr:col>
      <xdr:colOff>542924</xdr:colOff>
      <xdr:row>46</xdr:row>
      <xdr:rowOff>66675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19050</xdr:colOff>
      <xdr:row>55</xdr:row>
      <xdr:rowOff>123825</xdr:rowOff>
    </xdr:from>
    <xdr:to>
      <xdr:col>30</xdr:col>
      <xdr:colOff>571500</xdr:colOff>
      <xdr:row>70</xdr:row>
      <xdr:rowOff>161925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35</xdr:col>
      <xdr:colOff>438150</xdr:colOff>
      <xdr:row>55</xdr:row>
      <xdr:rowOff>180975</xdr:rowOff>
    </xdr:from>
    <xdr:to>
      <xdr:col>43</xdr:col>
      <xdr:colOff>133350</xdr:colOff>
      <xdr:row>70</xdr:row>
      <xdr:rowOff>66675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257174</xdr:colOff>
      <xdr:row>82</xdr:row>
      <xdr:rowOff>104774</xdr:rowOff>
    </xdr:from>
    <xdr:to>
      <xdr:col>30</xdr:col>
      <xdr:colOff>228599</xdr:colOff>
      <xdr:row>97</xdr:row>
      <xdr:rowOff>133349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95250</xdr:colOff>
      <xdr:row>82</xdr:row>
      <xdr:rowOff>114300</xdr:rowOff>
    </xdr:from>
    <xdr:to>
      <xdr:col>42</xdr:col>
      <xdr:colOff>133350</xdr:colOff>
      <xdr:row>97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142875</xdr:colOff>
      <xdr:row>109</xdr:row>
      <xdr:rowOff>133350</xdr:rowOff>
    </xdr:from>
    <xdr:to>
      <xdr:col>30</xdr:col>
      <xdr:colOff>180975</xdr:colOff>
      <xdr:row>124</xdr:row>
      <xdr:rowOff>9525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34</xdr:col>
      <xdr:colOff>85725</xdr:colOff>
      <xdr:row>109</xdr:row>
      <xdr:rowOff>133350</xdr:rowOff>
    </xdr:from>
    <xdr:to>
      <xdr:col>42</xdr:col>
      <xdr:colOff>104775</xdr:colOff>
      <xdr:row>124</xdr:row>
      <xdr:rowOff>9525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104775</xdr:colOff>
      <xdr:row>136</xdr:row>
      <xdr:rowOff>114300</xdr:rowOff>
    </xdr:from>
    <xdr:to>
      <xdr:col>30</xdr:col>
      <xdr:colOff>142875</xdr:colOff>
      <xdr:row>150</xdr:row>
      <xdr:rowOff>133350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34</xdr:col>
      <xdr:colOff>238125</xdr:colOff>
      <xdr:row>136</xdr:row>
      <xdr:rowOff>114299</xdr:rowOff>
    </xdr:from>
    <xdr:to>
      <xdr:col>43</xdr:col>
      <xdr:colOff>47625</xdr:colOff>
      <xdr:row>151</xdr:row>
      <xdr:rowOff>9524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542925</xdr:colOff>
      <xdr:row>2</xdr:row>
      <xdr:rowOff>133350</xdr:rowOff>
    </xdr:from>
    <xdr:to>
      <xdr:col>18</xdr:col>
      <xdr:colOff>238125</xdr:colOff>
      <xdr:row>17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190500</xdr:colOff>
      <xdr:row>29</xdr:row>
      <xdr:rowOff>133350</xdr:rowOff>
    </xdr:from>
    <xdr:to>
      <xdr:col>18</xdr:col>
      <xdr:colOff>495300</xdr:colOff>
      <xdr:row>44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54</xdr:row>
      <xdr:rowOff>152400</xdr:rowOff>
    </xdr:from>
    <xdr:to>
      <xdr:col>19</xdr:col>
      <xdr:colOff>0</xdr:colOff>
      <xdr:row>69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104775</xdr:colOff>
      <xdr:row>83</xdr:row>
      <xdr:rowOff>57150</xdr:rowOff>
    </xdr:from>
    <xdr:to>
      <xdr:col>18</xdr:col>
      <xdr:colOff>409575</xdr:colOff>
      <xdr:row>97</xdr:row>
      <xdr:rowOff>133350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495300</xdr:colOff>
      <xdr:row>110</xdr:row>
      <xdr:rowOff>9525</xdr:rowOff>
    </xdr:from>
    <xdr:to>
      <xdr:col>18</xdr:col>
      <xdr:colOff>190500</xdr:colOff>
      <xdr:row>124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266700</xdr:colOff>
      <xdr:row>136</xdr:row>
      <xdr:rowOff>38100</xdr:rowOff>
    </xdr:from>
    <xdr:to>
      <xdr:col>18</xdr:col>
      <xdr:colOff>571500</xdr:colOff>
      <xdr:row>150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590550</xdr:colOff>
      <xdr:row>2</xdr:row>
      <xdr:rowOff>114299</xdr:rowOff>
    </xdr:from>
    <xdr:to>
      <xdr:col>30</xdr:col>
      <xdr:colOff>104776</xdr:colOff>
      <xdr:row>17</xdr:row>
      <xdr:rowOff>85725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66674</xdr:colOff>
      <xdr:row>2</xdr:row>
      <xdr:rowOff>152400</xdr:rowOff>
    </xdr:from>
    <xdr:to>
      <xdr:col>42</xdr:col>
      <xdr:colOff>133349</xdr:colOff>
      <xdr:row>17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323849</xdr:colOff>
      <xdr:row>29</xdr:row>
      <xdr:rowOff>133350</xdr:rowOff>
    </xdr:from>
    <xdr:to>
      <xdr:col>30</xdr:col>
      <xdr:colOff>428624</xdr:colOff>
      <xdr:row>44</xdr:row>
      <xdr:rowOff>9525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476250</xdr:colOff>
      <xdr:row>29</xdr:row>
      <xdr:rowOff>123825</xdr:rowOff>
    </xdr:from>
    <xdr:to>
      <xdr:col>42</xdr:col>
      <xdr:colOff>114300</xdr:colOff>
      <xdr:row>44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304800</xdr:colOff>
      <xdr:row>54</xdr:row>
      <xdr:rowOff>9524</xdr:rowOff>
    </xdr:from>
    <xdr:to>
      <xdr:col>30</xdr:col>
      <xdr:colOff>476250</xdr:colOff>
      <xdr:row>68</xdr:row>
      <xdr:rowOff>190499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34</xdr:col>
      <xdr:colOff>142875</xdr:colOff>
      <xdr:row>54</xdr:row>
      <xdr:rowOff>9525</xdr:rowOff>
    </xdr:from>
    <xdr:to>
      <xdr:col>41</xdr:col>
      <xdr:colOff>447675</xdr:colOff>
      <xdr:row>68</xdr:row>
      <xdr:rowOff>85725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504825</xdr:colOff>
      <xdr:row>83</xdr:row>
      <xdr:rowOff>123824</xdr:rowOff>
    </xdr:from>
    <xdr:to>
      <xdr:col>30</xdr:col>
      <xdr:colOff>466725</xdr:colOff>
      <xdr:row>98</xdr:row>
      <xdr:rowOff>38099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85725</xdr:colOff>
      <xdr:row>83</xdr:row>
      <xdr:rowOff>95250</xdr:rowOff>
    </xdr:from>
    <xdr:to>
      <xdr:col>41</xdr:col>
      <xdr:colOff>390525</xdr:colOff>
      <xdr:row>97</xdr:row>
      <xdr:rowOff>171450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9525</xdr:colOff>
      <xdr:row>110</xdr:row>
      <xdr:rowOff>9525</xdr:rowOff>
    </xdr:from>
    <xdr:to>
      <xdr:col>30</xdr:col>
      <xdr:colOff>200025</xdr:colOff>
      <xdr:row>124</xdr:row>
      <xdr:rowOff>142875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34</xdr:col>
      <xdr:colOff>114300</xdr:colOff>
      <xdr:row>109</xdr:row>
      <xdr:rowOff>171449</xdr:rowOff>
    </xdr:from>
    <xdr:to>
      <xdr:col>42</xdr:col>
      <xdr:colOff>276225</xdr:colOff>
      <xdr:row>125</xdr:row>
      <xdr:rowOff>66674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23</xdr:col>
      <xdr:colOff>57150</xdr:colOff>
      <xdr:row>136</xdr:row>
      <xdr:rowOff>104775</xdr:rowOff>
    </xdr:from>
    <xdr:to>
      <xdr:col>30</xdr:col>
      <xdr:colOff>361950</xdr:colOff>
      <xdr:row>150</xdr:row>
      <xdr:rowOff>180975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34</xdr:col>
      <xdr:colOff>85724</xdr:colOff>
      <xdr:row>136</xdr:row>
      <xdr:rowOff>76200</xdr:rowOff>
    </xdr:from>
    <xdr:to>
      <xdr:col>42</xdr:col>
      <xdr:colOff>457199</xdr:colOff>
      <xdr:row>151</xdr:row>
      <xdr:rowOff>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3</xdr:row>
      <xdr:rowOff>47625</xdr:rowOff>
    </xdr:from>
    <xdr:to>
      <xdr:col>18</xdr:col>
      <xdr:colOff>85725</xdr:colOff>
      <xdr:row>17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485775</xdr:colOff>
      <xdr:row>29</xdr:row>
      <xdr:rowOff>123825</xdr:rowOff>
    </xdr:from>
    <xdr:to>
      <xdr:col>18</xdr:col>
      <xdr:colOff>180975</xdr:colOff>
      <xdr:row>44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56</xdr:row>
      <xdr:rowOff>180975</xdr:rowOff>
    </xdr:from>
    <xdr:to>
      <xdr:col>18</xdr:col>
      <xdr:colOff>600075</xdr:colOff>
      <xdr:row>71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590550</xdr:colOff>
      <xdr:row>84</xdr:row>
      <xdr:rowOff>66675</xdr:rowOff>
    </xdr:from>
    <xdr:to>
      <xdr:col>18</xdr:col>
      <xdr:colOff>285750</xdr:colOff>
      <xdr:row>98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514350</xdr:colOff>
      <xdr:row>111</xdr:row>
      <xdr:rowOff>38100</xdr:rowOff>
    </xdr:from>
    <xdr:to>
      <xdr:col>18</xdr:col>
      <xdr:colOff>209550</xdr:colOff>
      <xdr:row>125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552450</xdr:colOff>
      <xdr:row>138</xdr:row>
      <xdr:rowOff>19050</xdr:rowOff>
    </xdr:from>
    <xdr:to>
      <xdr:col>18</xdr:col>
      <xdr:colOff>247650</xdr:colOff>
      <xdr:row>152</xdr:row>
      <xdr:rowOff>95250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76199</xdr:colOff>
      <xdr:row>3</xdr:row>
      <xdr:rowOff>76200</xdr:rowOff>
    </xdr:from>
    <xdr:to>
      <xdr:col>30</xdr:col>
      <xdr:colOff>180974</xdr:colOff>
      <xdr:row>17</xdr:row>
      <xdr:rowOff>104775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476250</xdr:colOff>
      <xdr:row>3</xdr:row>
      <xdr:rowOff>104775</xdr:rowOff>
    </xdr:from>
    <xdr:to>
      <xdr:col>42</xdr:col>
      <xdr:colOff>171450</xdr:colOff>
      <xdr:row>17</xdr:row>
      <xdr:rowOff>180975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561974</xdr:colOff>
      <xdr:row>29</xdr:row>
      <xdr:rowOff>123825</xdr:rowOff>
    </xdr:from>
    <xdr:to>
      <xdr:col>30</xdr:col>
      <xdr:colOff>209549</xdr:colOff>
      <xdr:row>44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180975</xdr:colOff>
      <xdr:row>29</xdr:row>
      <xdr:rowOff>123825</xdr:rowOff>
    </xdr:from>
    <xdr:to>
      <xdr:col>42</xdr:col>
      <xdr:colOff>200025</xdr:colOff>
      <xdr:row>44</xdr:row>
      <xdr:rowOff>28575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9525</xdr:colOff>
      <xdr:row>57</xdr:row>
      <xdr:rowOff>0</xdr:rowOff>
    </xdr:from>
    <xdr:to>
      <xdr:col>30</xdr:col>
      <xdr:colOff>314325</xdr:colOff>
      <xdr:row>71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34</xdr:col>
      <xdr:colOff>476249</xdr:colOff>
      <xdr:row>56</xdr:row>
      <xdr:rowOff>142874</xdr:rowOff>
    </xdr:from>
    <xdr:to>
      <xdr:col>42</xdr:col>
      <xdr:colOff>523874</xdr:colOff>
      <xdr:row>71</xdr:row>
      <xdr:rowOff>76199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104774</xdr:colOff>
      <xdr:row>83</xdr:row>
      <xdr:rowOff>104775</xdr:rowOff>
    </xdr:from>
    <xdr:to>
      <xdr:col>30</xdr:col>
      <xdr:colOff>419099</xdr:colOff>
      <xdr:row>98</xdr:row>
      <xdr:rowOff>85725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76200</xdr:colOff>
      <xdr:row>83</xdr:row>
      <xdr:rowOff>133349</xdr:rowOff>
    </xdr:from>
    <xdr:to>
      <xdr:col>42</xdr:col>
      <xdr:colOff>190500</xdr:colOff>
      <xdr:row>98</xdr:row>
      <xdr:rowOff>47624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95249</xdr:colOff>
      <xdr:row>111</xdr:row>
      <xdr:rowOff>47625</xdr:rowOff>
    </xdr:from>
    <xdr:to>
      <xdr:col>30</xdr:col>
      <xdr:colOff>333374</xdr:colOff>
      <xdr:row>126</xdr:row>
      <xdr:rowOff>28575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34</xdr:col>
      <xdr:colOff>104775</xdr:colOff>
      <xdr:row>111</xdr:row>
      <xdr:rowOff>85725</xdr:rowOff>
    </xdr:from>
    <xdr:to>
      <xdr:col>42</xdr:col>
      <xdr:colOff>180975</xdr:colOff>
      <xdr:row>126</xdr:row>
      <xdr:rowOff>66675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523874</xdr:colOff>
      <xdr:row>138</xdr:row>
      <xdr:rowOff>9525</xdr:rowOff>
    </xdr:from>
    <xdr:to>
      <xdr:col>30</xdr:col>
      <xdr:colOff>361949</xdr:colOff>
      <xdr:row>152</xdr:row>
      <xdr:rowOff>180975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33</xdr:col>
      <xdr:colOff>590549</xdr:colOff>
      <xdr:row>138</xdr:row>
      <xdr:rowOff>19050</xdr:rowOff>
    </xdr:from>
    <xdr:to>
      <xdr:col>42</xdr:col>
      <xdr:colOff>142874</xdr:colOff>
      <xdr:row>152</xdr:row>
      <xdr:rowOff>133350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1</xdr:row>
      <xdr:rowOff>47625</xdr:rowOff>
    </xdr:from>
    <xdr:to>
      <xdr:col>18</xdr:col>
      <xdr:colOff>180974</xdr:colOff>
      <xdr:row>18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86</xdr:row>
      <xdr:rowOff>9525</xdr:rowOff>
    </xdr:from>
    <xdr:to>
      <xdr:col>19</xdr:col>
      <xdr:colOff>161925</xdr:colOff>
      <xdr:row>101</xdr:row>
      <xdr:rowOff>161925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276225</xdr:colOff>
      <xdr:row>114</xdr:row>
      <xdr:rowOff>66675</xdr:rowOff>
    </xdr:from>
    <xdr:to>
      <xdr:col>18</xdr:col>
      <xdr:colOff>581025</xdr:colOff>
      <xdr:row>128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38099</xdr:colOff>
      <xdr:row>26</xdr:row>
      <xdr:rowOff>180974</xdr:rowOff>
    </xdr:from>
    <xdr:to>
      <xdr:col>19</xdr:col>
      <xdr:colOff>200024</xdr:colOff>
      <xdr:row>44</xdr:row>
      <xdr:rowOff>38099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123824</xdr:colOff>
      <xdr:row>146</xdr:row>
      <xdr:rowOff>152399</xdr:rowOff>
    </xdr:from>
    <xdr:to>
      <xdr:col>19</xdr:col>
      <xdr:colOff>180975</xdr:colOff>
      <xdr:row>164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38100</xdr:colOff>
      <xdr:row>56</xdr:row>
      <xdr:rowOff>47625</xdr:rowOff>
    </xdr:from>
    <xdr:to>
      <xdr:col>18</xdr:col>
      <xdr:colOff>342900</xdr:colOff>
      <xdr:row>70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552450</xdr:colOff>
      <xdr:row>1</xdr:row>
      <xdr:rowOff>47624</xdr:rowOff>
    </xdr:from>
    <xdr:to>
      <xdr:col>29</xdr:col>
      <xdr:colOff>457200</xdr:colOff>
      <xdr:row>18</xdr:row>
      <xdr:rowOff>95249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33</xdr:col>
      <xdr:colOff>85725</xdr:colOff>
      <xdr:row>1</xdr:row>
      <xdr:rowOff>66675</xdr:rowOff>
    </xdr:from>
    <xdr:to>
      <xdr:col>41</xdr:col>
      <xdr:colOff>390525</xdr:colOff>
      <xdr:row>18</xdr:row>
      <xdr:rowOff>104775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581025</xdr:colOff>
      <xdr:row>27</xdr:row>
      <xdr:rowOff>19049</xdr:rowOff>
    </xdr:from>
    <xdr:to>
      <xdr:col>30</xdr:col>
      <xdr:colOff>561975</xdr:colOff>
      <xdr:row>44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228599</xdr:colOff>
      <xdr:row>27</xdr:row>
      <xdr:rowOff>19050</xdr:rowOff>
    </xdr:from>
    <xdr:to>
      <xdr:col>42</xdr:col>
      <xdr:colOff>314324</xdr:colOff>
      <xdr:row>44</xdr:row>
      <xdr:rowOff>38100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57150</xdr:colOff>
      <xdr:row>56</xdr:row>
      <xdr:rowOff>57150</xdr:rowOff>
    </xdr:from>
    <xdr:to>
      <xdr:col>30</xdr:col>
      <xdr:colOff>400050</xdr:colOff>
      <xdr:row>71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33</xdr:col>
      <xdr:colOff>542925</xdr:colOff>
      <xdr:row>56</xdr:row>
      <xdr:rowOff>47624</xdr:rowOff>
    </xdr:from>
    <xdr:to>
      <xdr:col>42</xdr:col>
      <xdr:colOff>123825</xdr:colOff>
      <xdr:row>71</xdr:row>
      <xdr:rowOff>114299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552450</xdr:colOff>
      <xdr:row>86</xdr:row>
      <xdr:rowOff>28575</xdr:rowOff>
    </xdr:from>
    <xdr:to>
      <xdr:col>30</xdr:col>
      <xdr:colOff>476250</xdr:colOff>
      <xdr:row>101</xdr:row>
      <xdr:rowOff>123825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323850</xdr:colOff>
      <xdr:row>86</xdr:row>
      <xdr:rowOff>57149</xdr:rowOff>
    </xdr:from>
    <xdr:to>
      <xdr:col>42</xdr:col>
      <xdr:colOff>476250</xdr:colOff>
      <xdr:row>101</xdr:row>
      <xdr:rowOff>123824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23</xdr:col>
      <xdr:colOff>76200</xdr:colOff>
      <xdr:row>114</xdr:row>
      <xdr:rowOff>123824</xdr:rowOff>
    </xdr:from>
    <xdr:to>
      <xdr:col>30</xdr:col>
      <xdr:colOff>533400</xdr:colOff>
      <xdr:row>129</xdr:row>
      <xdr:rowOff>76199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34</xdr:col>
      <xdr:colOff>457200</xdr:colOff>
      <xdr:row>114</xdr:row>
      <xdr:rowOff>104774</xdr:rowOff>
    </xdr:from>
    <xdr:to>
      <xdr:col>42</xdr:col>
      <xdr:colOff>552450</xdr:colOff>
      <xdr:row>129</xdr:row>
      <xdr:rowOff>152399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428625</xdr:colOff>
      <xdr:row>146</xdr:row>
      <xdr:rowOff>114299</xdr:rowOff>
    </xdr:from>
    <xdr:to>
      <xdr:col>30</xdr:col>
      <xdr:colOff>428625</xdr:colOff>
      <xdr:row>164</xdr:row>
      <xdr:rowOff>9524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34</xdr:col>
      <xdr:colOff>381000</xdr:colOff>
      <xdr:row>146</xdr:row>
      <xdr:rowOff>133349</xdr:rowOff>
    </xdr:from>
    <xdr:to>
      <xdr:col>42</xdr:col>
      <xdr:colOff>514350</xdr:colOff>
      <xdr:row>163</xdr:row>
      <xdr:rowOff>180974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361950</xdr:colOff>
      <xdr:row>1</xdr:row>
      <xdr:rowOff>66675</xdr:rowOff>
    </xdr:from>
    <xdr:to>
      <xdr:col>18</xdr:col>
      <xdr:colOff>57150</xdr:colOff>
      <xdr:row>15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23</xdr:row>
      <xdr:rowOff>57150</xdr:rowOff>
    </xdr:from>
    <xdr:to>
      <xdr:col>18</xdr:col>
      <xdr:colOff>323850</xdr:colOff>
      <xdr:row>37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552450</xdr:colOff>
      <xdr:row>51</xdr:row>
      <xdr:rowOff>133350</xdr:rowOff>
    </xdr:from>
    <xdr:to>
      <xdr:col>18</xdr:col>
      <xdr:colOff>247650</xdr:colOff>
      <xdr:row>66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428625</xdr:colOff>
      <xdr:row>79</xdr:row>
      <xdr:rowOff>123825</xdr:rowOff>
    </xdr:from>
    <xdr:to>
      <xdr:col>18</xdr:col>
      <xdr:colOff>123825</xdr:colOff>
      <xdr:row>94</xdr:row>
      <xdr:rowOff>9525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533400</xdr:colOff>
      <xdr:row>108</xdr:row>
      <xdr:rowOff>57150</xdr:rowOff>
    </xdr:from>
    <xdr:to>
      <xdr:col>18</xdr:col>
      <xdr:colOff>228600</xdr:colOff>
      <xdr:row>122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9525</xdr:colOff>
      <xdr:row>137</xdr:row>
      <xdr:rowOff>38100</xdr:rowOff>
    </xdr:from>
    <xdr:to>
      <xdr:col>18</xdr:col>
      <xdr:colOff>314325</xdr:colOff>
      <xdr:row>151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85725</xdr:colOff>
      <xdr:row>1</xdr:row>
      <xdr:rowOff>114300</xdr:rowOff>
    </xdr:from>
    <xdr:to>
      <xdr:col>29</xdr:col>
      <xdr:colOff>390525</xdr:colOff>
      <xdr:row>16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33</xdr:col>
      <xdr:colOff>533399</xdr:colOff>
      <xdr:row>1</xdr:row>
      <xdr:rowOff>114300</xdr:rowOff>
    </xdr:from>
    <xdr:to>
      <xdr:col>42</xdr:col>
      <xdr:colOff>28574</xdr:colOff>
      <xdr:row>15</xdr:row>
      <xdr:rowOff>171450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552449</xdr:colOff>
      <xdr:row>23</xdr:row>
      <xdr:rowOff>66675</xdr:rowOff>
    </xdr:from>
    <xdr:to>
      <xdr:col>30</xdr:col>
      <xdr:colOff>219074</xdr:colOff>
      <xdr:row>37</xdr:row>
      <xdr:rowOff>104775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114300</xdr:colOff>
      <xdr:row>23</xdr:row>
      <xdr:rowOff>85725</xdr:rowOff>
    </xdr:from>
    <xdr:to>
      <xdr:col>42</xdr:col>
      <xdr:colOff>276225</xdr:colOff>
      <xdr:row>37</xdr:row>
      <xdr:rowOff>161925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295275</xdr:colOff>
      <xdr:row>51</xdr:row>
      <xdr:rowOff>114300</xdr:rowOff>
    </xdr:from>
    <xdr:to>
      <xdr:col>29</xdr:col>
      <xdr:colOff>428625</xdr:colOff>
      <xdr:row>65</xdr:row>
      <xdr:rowOff>123825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33</xdr:col>
      <xdr:colOff>552450</xdr:colOff>
      <xdr:row>51</xdr:row>
      <xdr:rowOff>85725</xdr:rowOff>
    </xdr:from>
    <xdr:to>
      <xdr:col>41</xdr:col>
      <xdr:colOff>247650</xdr:colOff>
      <xdr:row>65</xdr:row>
      <xdr:rowOff>161925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19049</xdr:colOff>
      <xdr:row>79</xdr:row>
      <xdr:rowOff>104775</xdr:rowOff>
    </xdr:from>
    <xdr:to>
      <xdr:col>30</xdr:col>
      <xdr:colOff>390524</xdr:colOff>
      <xdr:row>93</xdr:row>
      <xdr:rowOff>180975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142875</xdr:colOff>
      <xdr:row>79</xdr:row>
      <xdr:rowOff>104775</xdr:rowOff>
    </xdr:from>
    <xdr:to>
      <xdr:col>42</xdr:col>
      <xdr:colOff>180975</xdr:colOff>
      <xdr:row>93</xdr:row>
      <xdr:rowOff>180975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228600</xdr:colOff>
      <xdr:row>108</xdr:row>
      <xdr:rowOff>76200</xdr:rowOff>
    </xdr:from>
    <xdr:to>
      <xdr:col>30</xdr:col>
      <xdr:colOff>400050</xdr:colOff>
      <xdr:row>122</xdr:row>
      <xdr:rowOff>152400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34</xdr:col>
      <xdr:colOff>257175</xdr:colOff>
      <xdr:row>108</xdr:row>
      <xdr:rowOff>85725</xdr:rowOff>
    </xdr:from>
    <xdr:to>
      <xdr:col>42</xdr:col>
      <xdr:colOff>276225</xdr:colOff>
      <xdr:row>122</xdr:row>
      <xdr:rowOff>161925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57150</xdr:colOff>
      <xdr:row>137</xdr:row>
      <xdr:rowOff>85725</xdr:rowOff>
    </xdr:from>
    <xdr:to>
      <xdr:col>30</xdr:col>
      <xdr:colOff>419100</xdr:colOff>
      <xdr:row>151</xdr:row>
      <xdr:rowOff>161925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34</xdr:col>
      <xdr:colOff>276224</xdr:colOff>
      <xdr:row>137</xdr:row>
      <xdr:rowOff>76200</xdr:rowOff>
    </xdr:from>
    <xdr:to>
      <xdr:col>42</xdr:col>
      <xdr:colOff>285749</xdr:colOff>
      <xdr:row>151</xdr:row>
      <xdr:rowOff>152400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3</xdr:row>
      <xdr:rowOff>161925</xdr:rowOff>
    </xdr:from>
    <xdr:to>
      <xdr:col>17</xdr:col>
      <xdr:colOff>590550</xdr:colOff>
      <xdr:row>18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3E354CB-E6CF-4A37-B0B7-69156D80F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3</xdr:row>
      <xdr:rowOff>123825</xdr:rowOff>
    </xdr:from>
    <xdr:to>
      <xdr:col>18</xdr:col>
      <xdr:colOff>9525</xdr:colOff>
      <xdr:row>18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109D958-71CB-4565-B6BB-384CE23D2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6"/>
  <sheetViews>
    <sheetView tabSelected="1" topLeftCell="A79" zoomScaleNormal="100" workbookViewId="0">
      <selection activeCell="J144" sqref="J144"/>
    </sheetView>
  </sheetViews>
  <sheetFormatPr defaultRowHeight="15" x14ac:dyDescent="0.25"/>
  <cols>
    <col min="1" max="1" width="17.28515625" customWidth="1"/>
    <col min="2" max="2" width="9.140625" customWidth="1"/>
    <col min="4" max="4" width="16.7109375" customWidth="1"/>
    <col min="6" max="6" width="9.5703125" customWidth="1"/>
    <col min="9" max="9" width="13.28515625" customWidth="1"/>
  </cols>
  <sheetData>
    <row r="1" spans="1:47" x14ac:dyDescent="0.25">
      <c r="A1" t="s">
        <v>5</v>
      </c>
      <c r="B1" t="s">
        <v>7</v>
      </c>
      <c r="C1" t="s">
        <v>6</v>
      </c>
      <c r="D1" t="s">
        <v>8</v>
      </c>
      <c r="E1" t="s">
        <v>4</v>
      </c>
      <c r="F1" t="s">
        <v>9</v>
      </c>
      <c r="G1" t="s">
        <v>3</v>
      </c>
    </row>
    <row r="2" spans="1:47" x14ac:dyDescent="0.25">
      <c r="A2">
        <v>5</v>
      </c>
      <c r="B2">
        <v>0.94399999999999995</v>
      </c>
      <c r="C2" t="s">
        <v>0</v>
      </c>
      <c r="D2">
        <v>0.76500000000000001</v>
      </c>
      <c r="E2">
        <f>(((B2-D2)/B2)*100)</f>
        <v>18.961864406779654</v>
      </c>
      <c r="F2">
        <f>AVERAGE(E2:E4)</f>
        <v>18.749999999999993</v>
      </c>
      <c r="G2">
        <f>STDEV(E2:E4)</f>
        <v>0.21186440677965912</v>
      </c>
    </row>
    <row r="3" spans="1:47" x14ac:dyDescent="0.25">
      <c r="A3">
        <v>5</v>
      </c>
      <c r="B3">
        <v>0.94399999999999995</v>
      </c>
      <c r="C3" t="s">
        <v>1</v>
      </c>
      <c r="D3">
        <v>0.76900000000000002</v>
      </c>
      <c r="E3">
        <f t="shared" ref="E3:E16" si="0">(((B3-D3)/B3)*100)</f>
        <v>18.538135593220336</v>
      </c>
    </row>
    <row r="4" spans="1:47" x14ac:dyDescent="0.25">
      <c r="A4">
        <v>5</v>
      </c>
      <c r="B4">
        <v>0.94399999999999995</v>
      </c>
      <c r="C4" t="s">
        <v>2</v>
      </c>
      <c r="D4">
        <v>0.76700000000000002</v>
      </c>
      <c r="E4">
        <f t="shared" si="0"/>
        <v>18.749999999999993</v>
      </c>
    </row>
    <row r="5" spans="1:47" x14ac:dyDescent="0.25">
      <c r="A5">
        <v>10</v>
      </c>
      <c r="B5">
        <v>0.94399999999999995</v>
      </c>
      <c r="C5" t="s">
        <v>0</v>
      </c>
      <c r="D5">
        <v>0.65400000000000003</v>
      </c>
      <c r="E5">
        <f t="shared" si="0"/>
        <v>30.720338983050844</v>
      </c>
      <c r="F5">
        <f>AVERAGE(E5:E7)</f>
        <v>30.790960451977398</v>
      </c>
      <c r="G5">
        <f>STDEV(E5:E7)</f>
        <v>0.22051546604514105</v>
      </c>
    </row>
    <row r="6" spans="1:47" x14ac:dyDescent="0.25">
      <c r="A6">
        <v>10</v>
      </c>
      <c r="B6">
        <v>0.94399999999999995</v>
      </c>
      <c r="C6" t="s">
        <v>1</v>
      </c>
      <c r="D6">
        <v>0.65100000000000002</v>
      </c>
      <c r="E6">
        <f t="shared" si="0"/>
        <v>31.038135593220336</v>
      </c>
    </row>
    <row r="7" spans="1:47" x14ac:dyDescent="0.25">
      <c r="A7">
        <v>10</v>
      </c>
      <c r="B7">
        <v>0.94399999999999995</v>
      </c>
      <c r="C7" t="s">
        <v>2</v>
      </c>
      <c r="D7">
        <v>0.65500000000000003</v>
      </c>
      <c r="E7">
        <f t="shared" si="0"/>
        <v>30.614406779661014</v>
      </c>
    </row>
    <row r="8" spans="1:47" x14ac:dyDescent="0.25">
      <c r="A8">
        <v>20</v>
      </c>
      <c r="B8">
        <v>0.94399999999999995</v>
      </c>
      <c r="C8" t="s">
        <v>0</v>
      </c>
      <c r="D8">
        <v>0.39200000000000002</v>
      </c>
      <c r="E8">
        <f t="shared" si="0"/>
        <v>58.474576271186443</v>
      </c>
      <c r="F8">
        <f>AVERAGE(E8:E10)</f>
        <v>58.121468926553668</v>
      </c>
      <c r="G8">
        <f>STDEV(E8:E10)</f>
        <v>0.32362822704490996</v>
      </c>
      <c r="I8" t="s">
        <v>10</v>
      </c>
      <c r="J8" t="s">
        <v>52</v>
      </c>
      <c r="T8" t="s">
        <v>10</v>
      </c>
      <c r="U8" t="s">
        <v>53</v>
      </c>
      <c r="AF8" t="s">
        <v>10</v>
      </c>
      <c r="AG8" t="s">
        <v>54</v>
      </c>
    </row>
    <row r="9" spans="1:47" x14ac:dyDescent="0.25">
      <c r="A9">
        <v>20</v>
      </c>
      <c r="B9">
        <v>0.94399999999999995</v>
      </c>
      <c r="C9" t="s">
        <v>1</v>
      </c>
      <c r="D9">
        <v>0.39600000000000002</v>
      </c>
      <c r="E9">
        <f t="shared" si="0"/>
        <v>58.050847457627121</v>
      </c>
      <c r="I9">
        <v>5</v>
      </c>
      <c r="J9">
        <v>18.75</v>
      </c>
      <c r="T9">
        <v>5</v>
      </c>
      <c r="U9">
        <v>18.53</v>
      </c>
      <c r="AF9">
        <v>5</v>
      </c>
      <c r="AG9">
        <v>18.96</v>
      </c>
      <c r="AT9" t="s">
        <v>55</v>
      </c>
      <c r="AU9" t="s">
        <v>3</v>
      </c>
    </row>
    <row r="10" spans="1:47" x14ac:dyDescent="0.25">
      <c r="A10">
        <v>20</v>
      </c>
      <c r="B10">
        <v>0.94399999999999995</v>
      </c>
      <c r="C10" t="s">
        <v>2</v>
      </c>
      <c r="D10">
        <v>0.39800000000000002</v>
      </c>
      <c r="E10">
        <f t="shared" si="0"/>
        <v>57.838983050847446</v>
      </c>
      <c r="I10">
        <v>10</v>
      </c>
      <c r="J10">
        <v>30.79</v>
      </c>
      <c r="T10">
        <v>10</v>
      </c>
      <c r="U10">
        <v>30.57</v>
      </c>
      <c r="AF10">
        <v>10</v>
      </c>
      <c r="AG10">
        <v>31.01</v>
      </c>
      <c r="AT10">
        <f>(50-26.56)/0.9365</f>
        <v>25.029364655632676</v>
      </c>
      <c r="AU10">
        <f>STDEV(AT10:AT12)</f>
        <v>0.30812228060909164</v>
      </c>
    </row>
    <row r="11" spans="1:47" x14ac:dyDescent="0.25">
      <c r="A11">
        <v>40</v>
      </c>
      <c r="B11">
        <v>0.94399999999999995</v>
      </c>
      <c r="C11" t="s">
        <v>0</v>
      </c>
      <c r="D11">
        <v>0.217</v>
      </c>
      <c r="E11">
        <f t="shared" si="0"/>
        <v>77.012711864406782</v>
      </c>
      <c r="F11">
        <f>AVERAGE(E11:E13)</f>
        <v>77.18926553672317</v>
      </c>
      <c r="G11">
        <f>STDEV(E11:E13)</f>
        <v>0.40105284927967483</v>
      </c>
      <c r="I11">
        <v>20</v>
      </c>
      <c r="J11">
        <v>58.12</v>
      </c>
      <c r="T11">
        <v>20</v>
      </c>
      <c r="U11">
        <v>57.79</v>
      </c>
      <c r="AF11">
        <v>20</v>
      </c>
      <c r="AG11">
        <v>58.44</v>
      </c>
      <c r="AT11">
        <f>(50-26.306)/0.935</f>
        <v>25.341176470588234</v>
      </c>
    </row>
    <row r="12" spans="1:47" x14ac:dyDescent="0.25">
      <c r="A12">
        <v>40</v>
      </c>
      <c r="B12">
        <v>0.94399999999999995</v>
      </c>
      <c r="C12" t="s">
        <v>1</v>
      </c>
      <c r="D12">
        <v>0.21099999999999999</v>
      </c>
      <c r="E12">
        <f t="shared" si="0"/>
        <v>77.648305084745758</v>
      </c>
      <c r="I12">
        <v>40</v>
      </c>
      <c r="J12">
        <v>77.180000000000007</v>
      </c>
      <c r="T12">
        <v>40</v>
      </c>
      <c r="U12">
        <v>76.78</v>
      </c>
      <c r="AF12">
        <v>40</v>
      </c>
      <c r="AG12">
        <v>77.59</v>
      </c>
      <c r="AT12">
        <f>(50-26.808)/0.938</f>
        <v>24.724946695095952</v>
      </c>
    </row>
    <row r="13" spans="1:47" x14ac:dyDescent="0.25">
      <c r="A13">
        <v>40</v>
      </c>
      <c r="B13">
        <v>0.94399999999999995</v>
      </c>
      <c r="C13" t="s">
        <v>2</v>
      </c>
      <c r="D13">
        <v>0.218</v>
      </c>
      <c r="E13">
        <f t="shared" si="0"/>
        <v>76.906779661016955</v>
      </c>
      <c r="I13">
        <v>80</v>
      </c>
      <c r="J13">
        <v>93.11</v>
      </c>
      <c r="T13">
        <v>80</v>
      </c>
      <c r="U13">
        <v>92.79</v>
      </c>
      <c r="AF13">
        <v>80</v>
      </c>
      <c r="AG13">
        <v>93.43</v>
      </c>
    </row>
    <row r="14" spans="1:47" x14ac:dyDescent="0.25">
      <c r="A14">
        <v>80</v>
      </c>
      <c r="B14">
        <v>0.94399999999999995</v>
      </c>
      <c r="C14" t="s">
        <v>0</v>
      </c>
      <c r="D14">
        <v>6.8000000000000005E-2</v>
      </c>
      <c r="E14">
        <f t="shared" si="0"/>
        <v>92.796610169491515</v>
      </c>
      <c r="F14">
        <f>AVERAGE(E14:E16)</f>
        <v>93.114406779661024</v>
      </c>
      <c r="G14">
        <f>STDEV(E14:E16)</f>
        <v>0.3177966101694949</v>
      </c>
    </row>
    <row r="15" spans="1:47" x14ac:dyDescent="0.25">
      <c r="A15">
        <v>80</v>
      </c>
      <c r="B15">
        <v>0.94399999999999995</v>
      </c>
      <c r="C15" t="s">
        <v>1</v>
      </c>
      <c r="D15">
        <v>6.5000000000000002E-2</v>
      </c>
      <c r="E15">
        <f t="shared" si="0"/>
        <v>93.114406779661024</v>
      </c>
    </row>
    <row r="16" spans="1:47" x14ac:dyDescent="0.25">
      <c r="A16">
        <v>80</v>
      </c>
      <c r="B16">
        <v>0.94399999999999995</v>
      </c>
      <c r="C16" t="s">
        <v>2</v>
      </c>
      <c r="D16">
        <v>6.2E-2</v>
      </c>
      <c r="E16">
        <f t="shared" si="0"/>
        <v>93.432203389830505</v>
      </c>
      <c r="I16" t="s">
        <v>17</v>
      </c>
      <c r="J16">
        <f>(50-26.56)/0.9365</f>
        <v>25.029364655632676</v>
      </c>
      <c r="T16" t="s">
        <v>17</v>
      </c>
      <c r="U16">
        <f>(50-26.306)/0.935</f>
        <v>25.341176470588234</v>
      </c>
      <c r="AF16" t="s">
        <v>17</v>
      </c>
      <c r="AG16">
        <f>(50-26.808)/0.938</f>
        <v>24.724946695095952</v>
      </c>
    </row>
    <row r="27" spans="1:10" x14ac:dyDescent="0.25">
      <c r="A27" t="s">
        <v>5</v>
      </c>
      <c r="B27" t="s">
        <v>7</v>
      </c>
      <c r="C27" t="s">
        <v>6</v>
      </c>
      <c r="D27" t="s">
        <v>8</v>
      </c>
      <c r="E27" t="s">
        <v>4</v>
      </c>
      <c r="F27" t="s">
        <v>9</v>
      </c>
      <c r="G27" t="s">
        <v>3</v>
      </c>
    </row>
    <row r="28" spans="1:10" x14ac:dyDescent="0.25">
      <c r="A28">
        <v>2.5</v>
      </c>
      <c r="B28">
        <v>0.94399999999999995</v>
      </c>
      <c r="C28" t="s">
        <v>0</v>
      </c>
      <c r="D28">
        <v>0.93500000000000005</v>
      </c>
      <c r="E28">
        <f t="shared" ref="E28:E48" si="1">(((B28-D28)/B28)*100)</f>
        <v>0.95338983050846371</v>
      </c>
      <c r="F28" s="5">
        <f>AVERAGE(E28:E30)</f>
        <v>0.52966101694914913</v>
      </c>
      <c r="G28" s="5">
        <f>STDEV(E28:E30)</f>
        <v>0.381943991044908</v>
      </c>
    </row>
    <row r="29" spans="1:10" x14ac:dyDescent="0.25">
      <c r="A29">
        <v>2.5</v>
      </c>
      <c r="B29">
        <v>0.94399999999999995</v>
      </c>
      <c r="C29" t="s">
        <v>1</v>
      </c>
      <c r="D29">
        <v>0.94</v>
      </c>
      <c r="E29">
        <f t="shared" si="1"/>
        <v>0.42372881355932246</v>
      </c>
    </row>
    <row r="30" spans="1:10" x14ac:dyDescent="0.25">
      <c r="A30">
        <v>2.5</v>
      </c>
      <c r="B30">
        <v>0.94399999999999995</v>
      </c>
      <c r="C30" t="s">
        <v>2</v>
      </c>
      <c r="D30">
        <v>0.94199999999999995</v>
      </c>
      <c r="E30">
        <f t="shared" si="1"/>
        <v>0.21186440677966123</v>
      </c>
    </row>
    <row r="31" spans="1:10" x14ac:dyDescent="0.25">
      <c r="A31">
        <v>5</v>
      </c>
      <c r="B31">
        <v>0.94399999999999995</v>
      </c>
      <c r="C31" t="s">
        <v>0</v>
      </c>
      <c r="D31">
        <v>0.93300000000000005</v>
      </c>
      <c r="E31">
        <f t="shared" si="1"/>
        <v>1.1652542372881249</v>
      </c>
      <c r="F31">
        <f>AVERAGE(E31:E33)</f>
        <v>1.2358757062146786</v>
      </c>
      <c r="G31">
        <f>STDEV(E31:E33)</f>
        <v>0.22051546604514255</v>
      </c>
      <c r="I31" s="2" t="s">
        <v>11</v>
      </c>
    </row>
    <row r="32" spans="1:10" x14ac:dyDescent="0.25">
      <c r="A32">
        <v>5</v>
      </c>
      <c r="B32">
        <v>0.94399999999999995</v>
      </c>
      <c r="C32" t="s">
        <v>1</v>
      </c>
      <c r="D32">
        <v>0.93400000000000005</v>
      </c>
      <c r="E32">
        <f t="shared" si="1"/>
        <v>1.0593220338982943</v>
      </c>
      <c r="I32" t="s">
        <v>10</v>
      </c>
      <c r="J32" t="s">
        <v>52</v>
      </c>
    </row>
    <row r="33" spans="1:48" x14ac:dyDescent="0.25">
      <c r="A33">
        <v>5</v>
      </c>
      <c r="B33">
        <v>0.94399999999999995</v>
      </c>
      <c r="C33" t="s">
        <v>2</v>
      </c>
      <c r="D33">
        <v>0.93</v>
      </c>
      <c r="E33">
        <f t="shared" si="1"/>
        <v>1.4830508474576167</v>
      </c>
      <c r="I33">
        <v>2.5</v>
      </c>
      <c r="J33">
        <v>0.52</v>
      </c>
      <c r="T33" t="s">
        <v>10</v>
      </c>
      <c r="U33" t="s">
        <v>53</v>
      </c>
      <c r="AG33" t="s">
        <v>10</v>
      </c>
      <c r="AH33" t="s">
        <v>54</v>
      </c>
    </row>
    <row r="34" spans="1:48" x14ac:dyDescent="0.25">
      <c r="A34">
        <v>10</v>
      </c>
      <c r="B34">
        <v>0.94399999999999995</v>
      </c>
      <c r="C34" t="s">
        <v>0</v>
      </c>
      <c r="D34">
        <v>0.89700000000000002</v>
      </c>
      <c r="E34">
        <f t="shared" si="1"/>
        <v>4.9788135593220266</v>
      </c>
      <c r="F34">
        <f>AVERAGE(E34:E36)</f>
        <v>5.0847457627118571</v>
      </c>
      <c r="G34">
        <f>STDEV(E34:E36)</f>
        <v>0.28027026600260529</v>
      </c>
      <c r="I34">
        <v>5</v>
      </c>
      <c r="J34">
        <v>1.23</v>
      </c>
      <c r="T34">
        <v>2.5</v>
      </c>
      <c r="U34">
        <v>0.14000000000000001</v>
      </c>
      <c r="AG34">
        <v>2.5</v>
      </c>
      <c r="AH34">
        <v>0.91</v>
      </c>
      <c r="AU34" t="s">
        <v>55</v>
      </c>
      <c r="AV34" t="s">
        <v>3</v>
      </c>
    </row>
    <row r="35" spans="1:48" x14ac:dyDescent="0.25">
      <c r="A35">
        <v>10</v>
      </c>
      <c r="B35">
        <v>0.94399999999999995</v>
      </c>
      <c r="C35" t="s">
        <v>1</v>
      </c>
      <c r="D35">
        <v>0.89800000000000002</v>
      </c>
      <c r="E35">
        <f t="shared" si="1"/>
        <v>4.8728813559321962</v>
      </c>
      <c r="I35">
        <v>10</v>
      </c>
      <c r="J35">
        <v>5.08</v>
      </c>
      <c r="T35">
        <v>5</v>
      </c>
      <c r="U35">
        <v>1.01</v>
      </c>
      <c r="AG35">
        <v>5</v>
      </c>
      <c r="AH35">
        <v>1.45</v>
      </c>
      <c r="AU35">
        <f>(50-5.8868)/0.2299</f>
        <v>191.87994780339278</v>
      </c>
      <c r="AV35">
        <f>STDEV(AU35:AU37)</f>
        <v>1.2633428762090502</v>
      </c>
    </row>
    <row r="36" spans="1:48" x14ac:dyDescent="0.25">
      <c r="A36">
        <v>10</v>
      </c>
      <c r="B36">
        <v>0.94399999999999995</v>
      </c>
      <c r="C36" t="s">
        <v>2</v>
      </c>
      <c r="D36">
        <v>0.89300000000000002</v>
      </c>
      <c r="E36">
        <f t="shared" si="1"/>
        <v>5.4025423728813493</v>
      </c>
      <c r="I36">
        <v>20</v>
      </c>
      <c r="J36">
        <v>12.46</v>
      </c>
      <c r="T36">
        <v>10</v>
      </c>
      <c r="U36">
        <v>4.8</v>
      </c>
      <c r="AG36">
        <v>10</v>
      </c>
      <c r="AH36">
        <v>5.36</v>
      </c>
      <c r="AU36">
        <f>(50-5.6265)/0.2297</f>
        <v>193.18023508924685</v>
      </c>
    </row>
    <row r="37" spans="1:48" x14ac:dyDescent="0.25">
      <c r="A37">
        <v>20</v>
      </c>
      <c r="B37">
        <v>0.94399999999999995</v>
      </c>
      <c r="C37" t="s">
        <v>0</v>
      </c>
      <c r="D37">
        <v>0.82799999999999996</v>
      </c>
      <c r="E37">
        <f t="shared" si="1"/>
        <v>12.288135593220337</v>
      </c>
      <c r="F37">
        <f>AVERAGE(E37:E39)</f>
        <v>12.464689265536725</v>
      </c>
      <c r="G37">
        <f>STDEV(E37:E39)</f>
        <v>0.16181411352245287</v>
      </c>
      <c r="I37">
        <v>40</v>
      </c>
      <c r="J37">
        <v>26.44</v>
      </c>
      <c r="T37">
        <v>20</v>
      </c>
      <c r="U37">
        <v>12.3</v>
      </c>
      <c r="AG37">
        <v>20</v>
      </c>
      <c r="AH37">
        <v>12.62</v>
      </c>
      <c r="AU37">
        <f>(50-6.1496)/0.23</f>
        <v>190.65391304347824</v>
      </c>
    </row>
    <row r="38" spans="1:48" x14ac:dyDescent="0.25">
      <c r="A38">
        <v>20</v>
      </c>
      <c r="B38">
        <v>0.94399999999999995</v>
      </c>
      <c r="C38" t="s">
        <v>1</v>
      </c>
      <c r="D38">
        <v>0.82599999999999996</v>
      </c>
      <c r="E38">
        <f t="shared" si="1"/>
        <v>12.5</v>
      </c>
      <c r="I38">
        <v>80</v>
      </c>
      <c r="J38">
        <v>32.549999999999997</v>
      </c>
      <c r="T38">
        <v>40</v>
      </c>
      <c r="U38">
        <v>26.22</v>
      </c>
      <c r="AG38">
        <v>40</v>
      </c>
      <c r="AH38">
        <v>26.66</v>
      </c>
    </row>
    <row r="39" spans="1:48" x14ac:dyDescent="0.25">
      <c r="A39">
        <v>20</v>
      </c>
      <c r="B39">
        <v>0.94399999999999995</v>
      </c>
      <c r="C39" t="s">
        <v>2</v>
      </c>
      <c r="D39">
        <v>0.82499999999999996</v>
      </c>
      <c r="E39">
        <f t="shared" si="1"/>
        <v>12.60593220338983</v>
      </c>
      <c r="I39">
        <v>160</v>
      </c>
      <c r="J39">
        <v>35.909999999999997</v>
      </c>
      <c r="T39">
        <v>80</v>
      </c>
      <c r="U39">
        <v>32.21</v>
      </c>
      <c r="AG39">
        <v>80</v>
      </c>
      <c r="AH39">
        <v>32.89</v>
      </c>
    </row>
    <row r="40" spans="1:48" x14ac:dyDescent="0.25">
      <c r="A40">
        <v>40</v>
      </c>
      <c r="B40">
        <v>0.94399999999999995</v>
      </c>
      <c r="C40" t="s">
        <v>0</v>
      </c>
      <c r="D40">
        <v>0.69599999999999995</v>
      </c>
      <c r="E40">
        <f t="shared" si="1"/>
        <v>26.271186440677969</v>
      </c>
      <c r="F40">
        <f>AVERAGE(E40:E42)</f>
        <v>26.447740112994353</v>
      </c>
      <c r="G40">
        <f>STDEV(E40:E42)</f>
        <v>0.22051546604514105</v>
      </c>
      <c r="T40">
        <v>160</v>
      </c>
      <c r="U40">
        <v>35.630000000000003</v>
      </c>
      <c r="AG40">
        <v>160</v>
      </c>
      <c r="AH40">
        <v>36.19</v>
      </c>
    </row>
    <row r="41" spans="1:48" x14ac:dyDescent="0.25">
      <c r="A41">
        <v>40</v>
      </c>
      <c r="B41">
        <v>0.94399999999999995</v>
      </c>
      <c r="C41" t="s">
        <v>1</v>
      </c>
      <c r="D41">
        <v>0.69499999999999995</v>
      </c>
      <c r="E41">
        <f t="shared" si="1"/>
        <v>26.377118644067799</v>
      </c>
    </row>
    <row r="42" spans="1:48" x14ac:dyDescent="0.25">
      <c r="A42">
        <v>40</v>
      </c>
      <c r="B42">
        <v>0.94399999999999995</v>
      </c>
      <c r="C42" t="s">
        <v>2</v>
      </c>
      <c r="D42">
        <v>0.69199999999999995</v>
      </c>
      <c r="E42">
        <f t="shared" si="1"/>
        <v>26.694915254237291</v>
      </c>
    </row>
    <row r="43" spans="1:48" x14ac:dyDescent="0.25">
      <c r="A43">
        <v>80</v>
      </c>
      <c r="B43">
        <v>0.94399999999999995</v>
      </c>
      <c r="C43" t="s">
        <v>0</v>
      </c>
      <c r="D43">
        <v>0.63900000000000001</v>
      </c>
      <c r="E43">
        <f t="shared" si="1"/>
        <v>32.309322033898304</v>
      </c>
      <c r="F43">
        <f>AVERAGE(E43:E45)</f>
        <v>32.556497175141239</v>
      </c>
      <c r="G43">
        <f>STDEV(E43:E45)</f>
        <v>0.34052439127800038</v>
      </c>
      <c r="I43" t="s">
        <v>17</v>
      </c>
      <c r="J43">
        <f>(50-5.8868)/0.2299</f>
        <v>191.87994780339278</v>
      </c>
    </row>
    <row r="44" spans="1:48" x14ac:dyDescent="0.25">
      <c r="A44">
        <v>80</v>
      </c>
      <c r="B44">
        <v>0.94399999999999995</v>
      </c>
      <c r="C44" t="s">
        <v>1</v>
      </c>
      <c r="D44">
        <v>0.63300000000000001</v>
      </c>
      <c r="E44">
        <f t="shared" si="1"/>
        <v>32.944915254237287</v>
      </c>
      <c r="T44" t="s">
        <v>17</v>
      </c>
      <c r="U44">
        <f>(50-5.6265)/0.2297</f>
        <v>193.18023508924685</v>
      </c>
      <c r="AG44" t="s">
        <v>17</v>
      </c>
      <c r="AH44">
        <f>(50-6.1496)/0.23</f>
        <v>190.65391304347824</v>
      </c>
    </row>
    <row r="45" spans="1:48" x14ac:dyDescent="0.25">
      <c r="A45">
        <v>80</v>
      </c>
      <c r="B45">
        <v>0.94399999999999995</v>
      </c>
      <c r="C45" t="s">
        <v>2</v>
      </c>
      <c r="D45">
        <v>0.63800000000000001</v>
      </c>
      <c r="E45">
        <f t="shared" si="1"/>
        <v>32.415254237288131</v>
      </c>
    </row>
    <row r="46" spans="1:48" x14ac:dyDescent="0.25">
      <c r="A46">
        <v>160</v>
      </c>
      <c r="B46">
        <v>0.94399999999999995</v>
      </c>
      <c r="C46" t="s">
        <v>0</v>
      </c>
      <c r="D46">
        <v>0.60199999999999998</v>
      </c>
      <c r="E46">
        <f t="shared" si="1"/>
        <v>36.228813559322035</v>
      </c>
      <c r="F46">
        <f>AVERAGE(E46:E48)</f>
        <v>35.911016949152547</v>
      </c>
      <c r="G46">
        <f>STDEV(E46:E48)</f>
        <v>0.28027026600260613</v>
      </c>
    </row>
    <row r="47" spans="1:48" x14ac:dyDescent="0.25">
      <c r="A47">
        <v>160</v>
      </c>
      <c r="B47">
        <v>0.94399999999999995</v>
      </c>
      <c r="C47" t="s">
        <v>1</v>
      </c>
      <c r="D47">
        <v>0.60699999999999998</v>
      </c>
      <c r="E47">
        <f t="shared" si="1"/>
        <v>35.699152542372879</v>
      </c>
    </row>
    <row r="48" spans="1:48" x14ac:dyDescent="0.25">
      <c r="A48">
        <v>160</v>
      </c>
      <c r="B48">
        <v>0.94399999999999995</v>
      </c>
      <c r="C48" t="s">
        <v>2</v>
      </c>
      <c r="D48">
        <v>0.60599999999999998</v>
      </c>
      <c r="E48">
        <f t="shared" si="1"/>
        <v>35.805084745762713</v>
      </c>
    </row>
    <row r="53" spans="1:47" x14ac:dyDescent="0.25">
      <c r="A53" t="s">
        <v>5</v>
      </c>
      <c r="B53" t="s">
        <v>7</v>
      </c>
      <c r="C53" t="s">
        <v>6</v>
      </c>
      <c r="D53" t="s">
        <v>8</v>
      </c>
      <c r="E53" t="s">
        <v>4</v>
      </c>
      <c r="F53" t="s">
        <v>9</v>
      </c>
      <c r="G53" t="s">
        <v>3</v>
      </c>
    </row>
    <row r="54" spans="1:47" x14ac:dyDescent="0.25">
      <c r="A54">
        <v>2.5</v>
      </c>
      <c r="B54">
        <v>0.94399999999999995</v>
      </c>
      <c r="C54" t="s">
        <v>0</v>
      </c>
      <c r="D54">
        <v>0.93300000000000005</v>
      </c>
      <c r="E54">
        <f>(((B54-D54)/B54)*100)</f>
        <v>1.1652542372881249</v>
      </c>
      <c r="F54">
        <f>AVERAGE(E54:E56)</f>
        <v>0.98870056497174053</v>
      </c>
      <c r="G54">
        <f>STDEV(E54:E56)</f>
        <v>0.22051546604514155</v>
      </c>
    </row>
    <row r="55" spans="1:47" x14ac:dyDescent="0.25">
      <c r="A55">
        <v>2.5</v>
      </c>
      <c r="B55">
        <v>0.94399999999999995</v>
      </c>
      <c r="C55" t="s">
        <v>1</v>
      </c>
      <c r="D55">
        <v>0.93700000000000006</v>
      </c>
      <c r="E55">
        <f t="shared" ref="E55:E74" si="2">(((B55-D55)/B55)*100)</f>
        <v>0.74152542372880248</v>
      </c>
    </row>
    <row r="56" spans="1:47" x14ac:dyDescent="0.25">
      <c r="A56">
        <v>2.5</v>
      </c>
      <c r="B56">
        <v>0.94399999999999995</v>
      </c>
      <c r="C56" t="s">
        <v>2</v>
      </c>
      <c r="D56">
        <v>0.93400000000000005</v>
      </c>
      <c r="E56">
        <f t="shared" si="2"/>
        <v>1.0593220338982943</v>
      </c>
    </row>
    <row r="57" spans="1:47" x14ac:dyDescent="0.25">
      <c r="A57">
        <v>5</v>
      </c>
      <c r="B57">
        <v>0.94399999999999995</v>
      </c>
      <c r="C57" t="s">
        <v>0</v>
      </c>
      <c r="D57">
        <v>0.90700000000000003</v>
      </c>
      <c r="E57">
        <f t="shared" si="2"/>
        <v>3.9194915254237204</v>
      </c>
      <c r="F57">
        <f>AVERAGE(E57:E59)</f>
        <v>3.9548022598869981</v>
      </c>
      <c r="G57">
        <f>STDEV(E57:E59)</f>
        <v>0.16181411352245217</v>
      </c>
    </row>
    <row r="58" spans="1:47" x14ac:dyDescent="0.25">
      <c r="A58">
        <v>5</v>
      </c>
      <c r="B58">
        <v>0.94399999999999995</v>
      </c>
      <c r="C58" t="s">
        <v>1</v>
      </c>
      <c r="D58">
        <v>0.90500000000000003</v>
      </c>
      <c r="E58">
        <f t="shared" si="2"/>
        <v>4.1313559322033822</v>
      </c>
      <c r="I58" s="1" t="s">
        <v>15</v>
      </c>
    </row>
    <row r="59" spans="1:47" x14ac:dyDescent="0.25">
      <c r="A59">
        <v>5</v>
      </c>
      <c r="B59">
        <v>0.94399999999999995</v>
      </c>
      <c r="C59" t="s">
        <v>2</v>
      </c>
      <c r="D59">
        <v>0.90800000000000003</v>
      </c>
      <c r="E59">
        <f t="shared" si="2"/>
        <v>3.8135593220338904</v>
      </c>
      <c r="I59" t="s">
        <v>10</v>
      </c>
      <c r="J59" t="s">
        <v>52</v>
      </c>
      <c r="T59" t="s">
        <v>10</v>
      </c>
      <c r="U59" t="s">
        <v>53</v>
      </c>
      <c r="AG59" t="s">
        <v>10</v>
      </c>
      <c r="AH59" t="s">
        <v>54</v>
      </c>
    </row>
    <row r="60" spans="1:47" x14ac:dyDescent="0.25">
      <c r="A60">
        <v>10</v>
      </c>
      <c r="B60">
        <v>0.94399999999999995</v>
      </c>
      <c r="C60" t="s">
        <v>0</v>
      </c>
      <c r="D60">
        <v>0.86599999999999999</v>
      </c>
      <c r="E60">
        <f t="shared" si="2"/>
        <v>8.262711864406775</v>
      </c>
      <c r="F60">
        <f>AVERAGE(E60:E62)</f>
        <v>8.4039548022598822</v>
      </c>
      <c r="G60">
        <f>STDEV(E60:E62)</f>
        <v>0.16181411352245284</v>
      </c>
      <c r="I60">
        <v>2.5</v>
      </c>
      <c r="J60">
        <v>0.98</v>
      </c>
      <c r="T60">
        <v>2.5</v>
      </c>
      <c r="U60">
        <v>0.76</v>
      </c>
      <c r="AG60">
        <v>2.5</v>
      </c>
      <c r="AH60">
        <v>1.2</v>
      </c>
    </row>
    <row r="61" spans="1:47" x14ac:dyDescent="0.25">
      <c r="A61">
        <v>10</v>
      </c>
      <c r="B61">
        <v>0.94399999999999995</v>
      </c>
      <c r="C61" t="s">
        <v>1</v>
      </c>
      <c r="D61">
        <v>0.86499999999999999</v>
      </c>
      <c r="E61">
        <f t="shared" si="2"/>
        <v>8.3686440677966054</v>
      </c>
      <c r="I61">
        <v>5</v>
      </c>
      <c r="J61">
        <v>3.95</v>
      </c>
      <c r="T61">
        <v>5</v>
      </c>
      <c r="U61">
        <v>3.79</v>
      </c>
      <c r="AG61">
        <v>5</v>
      </c>
      <c r="AH61">
        <v>4.1100000000000003</v>
      </c>
      <c r="AT61" t="s">
        <v>55</v>
      </c>
      <c r="AU61" t="s">
        <v>3</v>
      </c>
    </row>
    <row r="62" spans="1:47" x14ac:dyDescent="0.25">
      <c r="A62">
        <v>10</v>
      </c>
      <c r="B62">
        <v>0.94399999999999995</v>
      </c>
      <c r="C62" t="s">
        <v>2</v>
      </c>
      <c r="D62">
        <v>0.86299999999999999</v>
      </c>
      <c r="E62">
        <f t="shared" si="2"/>
        <v>8.5805084745762681</v>
      </c>
      <c r="I62">
        <v>10</v>
      </c>
      <c r="J62">
        <v>8.4</v>
      </c>
      <c r="T62">
        <v>10</v>
      </c>
      <c r="U62">
        <v>8.24</v>
      </c>
      <c r="AG62">
        <v>10</v>
      </c>
      <c r="AH62">
        <v>8.56</v>
      </c>
      <c r="AT62">
        <f>(50-6.3349)/0.1778</f>
        <v>245.58548931383578</v>
      </c>
      <c r="AU62">
        <f>STDEV(AT62:AT64)</f>
        <v>0.92060544382775034</v>
      </c>
    </row>
    <row r="63" spans="1:47" x14ac:dyDescent="0.25">
      <c r="A63">
        <v>20</v>
      </c>
      <c r="B63">
        <v>0.94399999999999995</v>
      </c>
      <c r="C63" t="s">
        <v>0</v>
      </c>
      <c r="D63">
        <v>0.83899999999999997</v>
      </c>
      <c r="E63">
        <f t="shared" si="2"/>
        <v>11.122881355932201</v>
      </c>
      <c r="F63">
        <f>AVERAGE(E63:E65)</f>
        <v>11.405367231638417</v>
      </c>
      <c r="G63">
        <f>STDEV(E63:E65)</f>
        <v>0.26659019898554986</v>
      </c>
      <c r="I63">
        <v>20</v>
      </c>
      <c r="J63">
        <v>11.4</v>
      </c>
      <c r="T63">
        <v>20</v>
      </c>
      <c r="U63">
        <v>11.13</v>
      </c>
      <c r="AG63">
        <v>20</v>
      </c>
      <c r="AH63">
        <v>11.67</v>
      </c>
      <c r="AT63">
        <f>(50-6.1345)/0.178</f>
        <v>246.43539325842696</v>
      </c>
    </row>
    <row r="64" spans="1:47" x14ac:dyDescent="0.25">
      <c r="A64">
        <v>20</v>
      </c>
      <c r="B64">
        <v>0.94399999999999995</v>
      </c>
      <c r="C64" t="s">
        <v>1</v>
      </c>
      <c r="D64">
        <v>0.83599999999999997</v>
      </c>
      <c r="E64">
        <f t="shared" si="2"/>
        <v>11.440677966101694</v>
      </c>
      <c r="I64">
        <v>40</v>
      </c>
      <c r="J64">
        <v>19.84</v>
      </c>
      <c r="T64">
        <v>40</v>
      </c>
      <c r="U64">
        <v>19.68</v>
      </c>
      <c r="AG64">
        <v>40</v>
      </c>
      <c r="AH64">
        <v>20</v>
      </c>
      <c r="AT64">
        <f>(50-6.5353)/0.1777</f>
        <v>244.59594822734948</v>
      </c>
    </row>
    <row r="65" spans="1:34" x14ac:dyDescent="0.25">
      <c r="A65">
        <v>20</v>
      </c>
      <c r="B65">
        <v>0.94399999999999995</v>
      </c>
      <c r="C65" t="s">
        <v>2</v>
      </c>
      <c r="D65">
        <v>0.83399999999999996</v>
      </c>
      <c r="E65">
        <f t="shared" si="2"/>
        <v>11.652542372881355</v>
      </c>
      <c r="I65">
        <v>80</v>
      </c>
      <c r="J65">
        <v>25.56</v>
      </c>
      <c r="T65">
        <v>80</v>
      </c>
      <c r="U65">
        <v>25.34</v>
      </c>
      <c r="AG65">
        <v>80</v>
      </c>
      <c r="AH65">
        <v>25.78</v>
      </c>
    </row>
    <row r="66" spans="1:34" x14ac:dyDescent="0.25">
      <c r="A66">
        <v>40</v>
      </c>
      <c r="B66">
        <v>0.94399999999999995</v>
      </c>
      <c r="C66" t="s">
        <v>0</v>
      </c>
      <c r="D66">
        <v>0.75800000000000001</v>
      </c>
      <c r="E66">
        <f t="shared" si="2"/>
        <v>19.70338983050847</v>
      </c>
      <c r="F66">
        <f>AVERAGE(E66:E68)</f>
        <v>19.844632768361578</v>
      </c>
      <c r="G66">
        <f>STDEV(E66:E68)</f>
        <v>0.16181411352245187</v>
      </c>
      <c r="I66">
        <v>160</v>
      </c>
      <c r="J66">
        <v>30.68</v>
      </c>
      <c r="T66">
        <v>160</v>
      </c>
      <c r="U66">
        <v>30.52</v>
      </c>
      <c r="AG66">
        <v>160</v>
      </c>
      <c r="AH66">
        <v>30.84</v>
      </c>
    </row>
    <row r="67" spans="1:34" x14ac:dyDescent="0.25">
      <c r="A67">
        <v>40</v>
      </c>
      <c r="B67">
        <v>0.94399999999999995</v>
      </c>
      <c r="C67" t="s">
        <v>1</v>
      </c>
      <c r="D67">
        <v>0.755</v>
      </c>
      <c r="E67">
        <f t="shared" si="2"/>
        <v>20.021186440677962</v>
      </c>
    </row>
    <row r="68" spans="1:34" x14ac:dyDescent="0.25">
      <c r="A68">
        <v>40</v>
      </c>
      <c r="B68">
        <v>0.94399999999999995</v>
      </c>
      <c r="C68" t="s">
        <v>2</v>
      </c>
      <c r="D68">
        <v>0.75700000000000001</v>
      </c>
      <c r="E68">
        <f t="shared" si="2"/>
        <v>19.809322033898301</v>
      </c>
    </row>
    <row r="69" spans="1:34" x14ac:dyDescent="0.25">
      <c r="A69">
        <v>80</v>
      </c>
      <c r="B69">
        <v>0.94399999999999995</v>
      </c>
      <c r="C69" t="s">
        <v>0</v>
      </c>
      <c r="D69">
        <v>0.70199999999999996</v>
      </c>
      <c r="E69">
        <f t="shared" si="2"/>
        <v>25.635593220338983</v>
      </c>
      <c r="F69">
        <f>AVERAGE(E69:E71)</f>
        <v>25.564971751412429</v>
      </c>
      <c r="G69">
        <f>STDEV(E69:E71)</f>
        <v>0.22051546604514105</v>
      </c>
    </row>
    <row r="70" spans="1:34" x14ac:dyDescent="0.25">
      <c r="A70">
        <v>80</v>
      </c>
      <c r="B70">
        <v>0.94399999999999995</v>
      </c>
      <c r="C70" t="s">
        <v>1</v>
      </c>
      <c r="D70">
        <v>0.70499999999999996</v>
      </c>
      <c r="E70">
        <f t="shared" si="2"/>
        <v>25.317796610169491</v>
      </c>
      <c r="I70" t="s">
        <v>17</v>
      </c>
      <c r="J70">
        <f>(50-6.3349)/0.1778</f>
        <v>245.58548931383578</v>
      </c>
      <c r="T70" t="s">
        <v>17</v>
      </c>
      <c r="U70">
        <f>(50-6.1345)/0.178</f>
        <v>246.43539325842696</v>
      </c>
      <c r="AG70" t="s">
        <v>17</v>
      </c>
      <c r="AH70">
        <f>(50-6.5353)/0.1777</f>
        <v>244.59594822734948</v>
      </c>
    </row>
    <row r="71" spans="1:34" x14ac:dyDescent="0.25">
      <c r="A71">
        <v>80</v>
      </c>
      <c r="B71">
        <v>0.94399999999999995</v>
      </c>
      <c r="C71" t="s">
        <v>2</v>
      </c>
      <c r="D71">
        <v>0.70099999999999996</v>
      </c>
      <c r="E71">
        <f t="shared" si="2"/>
        <v>25.741525423728813</v>
      </c>
    </row>
    <row r="72" spans="1:34" x14ac:dyDescent="0.25">
      <c r="A72">
        <v>160</v>
      </c>
      <c r="B72">
        <v>0.94399999999999995</v>
      </c>
      <c r="C72" t="s">
        <v>0</v>
      </c>
      <c r="D72">
        <v>0.65400000000000003</v>
      </c>
      <c r="E72">
        <f t="shared" si="2"/>
        <v>30.720338983050844</v>
      </c>
      <c r="F72">
        <f>AVERAGE(E72:E74)</f>
        <v>30.685028248587567</v>
      </c>
      <c r="G72">
        <f>STDEV(E72:E74)</f>
        <v>0.16181411352245575</v>
      </c>
    </row>
    <row r="73" spans="1:34" x14ac:dyDescent="0.25">
      <c r="A73">
        <v>160</v>
      </c>
      <c r="B73">
        <v>0.94399999999999995</v>
      </c>
      <c r="C73" t="s">
        <v>1</v>
      </c>
      <c r="D73">
        <v>0.65600000000000003</v>
      </c>
      <c r="E73">
        <f t="shared" si="2"/>
        <v>30.508474576271176</v>
      </c>
    </row>
    <row r="74" spans="1:34" x14ac:dyDescent="0.25">
      <c r="A74">
        <v>160</v>
      </c>
      <c r="B74">
        <v>0.94399999999999995</v>
      </c>
      <c r="C74" t="s">
        <v>2</v>
      </c>
      <c r="D74">
        <v>0.65300000000000002</v>
      </c>
      <c r="E74">
        <f t="shared" si="2"/>
        <v>30.826271186440675</v>
      </c>
    </row>
    <row r="80" spans="1:34" x14ac:dyDescent="0.25">
      <c r="A80" t="s">
        <v>5</v>
      </c>
      <c r="B80" t="s">
        <v>7</v>
      </c>
      <c r="C80" t="s">
        <v>6</v>
      </c>
      <c r="D80" t="s">
        <v>8</v>
      </c>
      <c r="E80" t="s">
        <v>4</v>
      </c>
      <c r="F80" t="s">
        <v>9</v>
      </c>
      <c r="G80" t="s">
        <v>3</v>
      </c>
    </row>
    <row r="81" spans="1:45" x14ac:dyDescent="0.25">
      <c r="A81">
        <v>2.5</v>
      </c>
      <c r="B81">
        <v>0.94399999999999995</v>
      </c>
      <c r="C81" t="s">
        <v>0</v>
      </c>
      <c r="D81">
        <v>0.88700000000000001</v>
      </c>
      <c r="E81">
        <f>(((B81-D81)/B81)*100)</f>
        <v>6.0381355932203329</v>
      </c>
      <c r="F81">
        <f>AVERAGE(E81:E83)</f>
        <v>6.0734463276836097</v>
      </c>
      <c r="G81">
        <f>STDEV(E81:E83)</f>
        <v>0.26659019898554981</v>
      </c>
    </row>
    <row r="82" spans="1:45" x14ac:dyDescent="0.25">
      <c r="A82">
        <v>2.5</v>
      </c>
      <c r="B82">
        <v>0.94399999999999995</v>
      </c>
      <c r="C82" t="s">
        <v>1</v>
      </c>
      <c r="D82">
        <v>0.88900000000000001</v>
      </c>
      <c r="E82">
        <f t="shared" ref="E82:E101" si="3">(((B82-D82)/B82)*100)</f>
        <v>5.8262711864406711</v>
      </c>
    </row>
    <row r="83" spans="1:45" x14ac:dyDescent="0.25">
      <c r="A83">
        <v>2.5</v>
      </c>
      <c r="B83">
        <v>0.94399999999999995</v>
      </c>
      <c r="C83" t="s">
        <v>2</v>
      </c>
      <c r="D83">
        <v>0.88400000000000001</v>
      </c>
      <c r="E83">
        <f t="shared" si="3"/>
        <v>6.3559322033898251</v>
      </c>
    </row>
    <row r="84" spans="1:45" x14ac:dyDescent="0.25">
      <c r="A84">
        <v>5</v>
      </c>
      <c r="B84">
        <v>0.94399999999999995</v>
      </c>
      <c r="C84" t="s">
        <v>0</v>
      </c>
      <c r="D84">
        <v>0.79400000000000004</v>
      </c>
      <c r="E84">
        <f t="shared" si="3"/>
        <v>15.889830508474567</v>
      </c>
      <c r="F84">
        <f>AVERAGE(E84:E86)</f>
        <v>15.889830508474567</v>
      </c>
      <c r="G84">
        <f>STDEV(E84:E86)</f>
        <v>0.10593220338983045</v>
      </c>
    </row>
    <row r="85" spans="1:45" x14ac:dyDescent="0.25">
      <c r="A85">
        <v>5</v>
      </c>
      <c r="B85">
        <v>0.94399999999999995</v>
      </c>
      <c r="C85" t="s">
        <v>1</v>
      </c>
      <c r="D85">
        <v>0.79300000000000004</v>
      </c>
      <c r="E85">
        <f t="shared" si="3"/>
        <v>15.995762711864398</v>
      </c>
      <c r="I85" s="2" t="s">
        <v>14</v>
      </c>
    </row>
    <row r="86" spans="1:45" x14ac:dyDescent="0.25">
      <c r="A86">
        <v>5</v>
      </c>
      <c r="B86">
        <v>0.94399999999999995</v>
      </c>
      <c r="C86" t="s">
        <v>2</v>
      </c>
      <c r="D86">
        <v>0.79500000000000004</v>
      </c>
      <c r="E86">
        <f t="shared" si="3"/>
        <v>15.783898305084737</v>
      </c>
      <c r="I86" t="s">
        <v>10</v>
      </c>
      <c r="J86" t="s">
        <v>52</v>
      </c>
    </row>
    <row r="87" spans="1:45" x14ac:dyDescent="0.25">
      <c r="A87">
        <v>10</v>
      </c>
      <c r="B87">
        <v>0.94399999999999995</v>
      </c>
      <c r="C87" t="s">
        <v>0</v>
      </c>
      <c r="D87">
        <v>0.68600000000000005</v>
      </c>
      <c r="E87">
        <f t="shared" si="3"/>
        <v>27.330508474576259</v>
      </c>
      <c r="F87">
        <f>AVERAGE(E87:E89)</f>
        <v>27.36581920903954</v>
      </c>
      <c r="G87">
        <f>STDEV(E87:E89)</f>
        <v>6.1159986142968796E-2</v>
      </c>
      <c r="I87">
        <v>2.5</v>
      </c>
      <c r="J87">
        <v>6.07</v>
      </c>
      <c r="T87" t="s">
        <v>10</v>
      </c>
      <c r="U87" t="s">
        <v>53</v>
      </c>
      <c r="AF87" t="s">
        <v>10</v>
      </c>
      <c r="AG87" t="s">
        <v>54</v>
      </c>
      <c r="AR87" t="s">
        <v>55</v>
      </c>
      <c r="AS87" t="s">
        <v>3</v>
      </c>
    </row>
    <row r="88" spans="1:45" x14ac:dyDescent="0.25">
      <c r="A88">
        <v>10</v>
      </c>
      <c r="B88">
        <v>0.94399999999999995</v>
      </c>
      <c r="C88" t="s">
        <v>1</v>
      </c>
      <c r="D88">
        <v>0.68500000000000005</v>
      </c>
      <c r="E88">
        <f t="shared" si="3"/>
        <v>27.43644067796609</v>
      </c>
      <c r="I88">
        <v>5</v>
      </c>
      <c r="J88">
        <v>15.89</v>
      </c>
      <c r="T88">
        <v>2.5</v>
      </c>
      <c r="U88">
        <v>5.8</v>
      </c>
      <c r="AF88">
        <v>2.5</v>
      </c>
      <c r="AG88">
        <v>6.34</v>
      </c>
      <c r="AR88">
        <f>(50-20.315)/0.2396</f>
        <v>123.8939899833055</v>
      </c>
      <c r="AS88">
        <f>STDEV(AR88:AR90)</f>
        <v>0.73041351021255951</v>
      </c>
    </row>
    <row r="89" spans="1:45" x14ac:dyDescent="0.25">
      <c r="A89">
        <v>10</v>
      </c>
      <c r="B89">
        <v>0.94399999999999995</v>
      </c>
      <c r="C89" t="s">
        <v>2</v>
      </c>
      <c r="D89">
        <v>0.68600000000000005</v>
      </c>
      <c r="E89">
        <f t="shared" si="3"/>
        <v>27.330508474576259</v>
      </c>
      <c r="I89">
        <v>10</v>
      </c>
      <c r="J89">
        <v>27.36</v>
      </c>
      <c r="T89">
        <v>5</v>
      </c>
      <c r="U89">
        <v>15.78</v>
      </c>
      <c r="AF89">
        <v>5</v>
      </c>
      <c r="AG89">
        <v>15.99</v>
      </c>
      <c r="AR89">
        <f>(50-20.089)/0.2401</f>
        <v>124.57725947521865</v>
      </c>
    </row>
    <row r="90" spans="1:45" x14ac:dyDescent="0.25">
      <c r="A90">
        <v>20</v>
      </c>
      <c r="B90">
        <v>0.94399999999999995</v>
      </c>
      <c r="C90" t="s">
        <v>0</v>
      </c>
      <c r="D90">
        <v>0.64800000000000002</v>
      </c>
      <c r="E90">
        <f t="shared" si="3"/>
        <v>31.355932203389823</v>
      </c>
      <c r="F90">
        <f>AVERAGE(E90:E92)</f>
        <v>31.814971751412426</v>
      </c>
      <c r="G90">
        <f>STDEV(E90:E92)</f>
        <v>0.42811990300078318</v>
      </c>
      <c r="I90">
        <v>20</v>
      </c>
      <c r="J90">
        <v>31.81</v>
      </c>
      <c r="T90">
        <v>10</v>
      </c>
      <c r="U90">
        <v>27.3</v>
      </c>
      <c r="AF90">
        <v>10</v>
      </c>
      <c r="AG90">
        <v>27.42</v>
      </c>
      <c r="AR90">
        <f>(50-20.538)/0.2393</f>
        <v>123.11742582532385</v>
      </c>
    </row>
    <row r="91" spans="1:45" x14ac:dyDescent="0.25">
      <c r="A91">
        <v>20</v>
      </c>
      <c r="B91">
        <v>0.94399999999999995</v>
      </c>
      <c r="C91" t="s">
        <v>1</v>
      </c>
      <c r="D91">
        <v>0.64</v>
      </c>
      <c r="E91">
        <f t="shared" si="3"/>
        <v>32.20338983050847</v>
      </c>
      <c r="I91">
        <v>40</v>
      </c>
      <c r="J91">
        <v>39.119999999999997</v>
      </c>
      <c r="T91">
        <v>20</v>
      </c>
      <c r="U91">
        <v>31.38</v>
      </c>
      <c r="AF91">
        <v>20</v>
      </c>
      <c r="AG91">
        <v>32.24</v>
      </c>
    </row>
    <row r="92" spans="1:45" x14ac:dyDescent="0.25">
      <c r="A92">
        <v>20</v>
      </c>
      <c r="B92">
        <v>0.94399999999999995</v>
      </c>
      <c r="C92" t="s">
        <v>2</v>
      </c>
      <c r="D92">
        <v>0.64300000000000002</v>
      </c>
      <c r="E92">
        <f t="shared" si="3"/>
        <v>31.885593220338976</v>
      </c>
      <c r="I92">
        <v>80</v>
      </c>
      <c r="J92">
        <v>45.33</v>
      </c>
      <c r="T92">
        <v>40</v>
      </c>
      <c r="U92">
        <v>38.81</v>
      </c>
      <c r="AF92">
        <v>40</v>
      </c>
      <c r="AG92">
        <v>39.43</v>
      </c>
    </row>
    <row r="93" spans="1:45" x14ac:dyDescent="0.25">
      <c r="A93">
        <v>40</v>
      </c>
      <c r="B93">
        <v>0.94399999999999995</v>
      </c>
      <c r="C93" t="s">
        <v>0</v>
      </c>
      <c r="D93">
        <v>0.57799999999999996</v>
      </c>
      <c r="E93">
        <f t="shared" si="3"/>
        <v>38.771186440677965</v>
      </c>
      <c r="F93">
        <f>AVERAGE(E93:E95)</f>
        <v>39.124293785310734</v>
      </c>
      <c r="G93">
        <f>STDEV(E93:E95)</f>
        <v>0.30579993071484607</v>
      </c>
      <c r="I93">
        <v>160</v>
      </c>
      <c r="J93">
        <v>52.71</v>
      </c>
      <c r="T93">
        <v>80</v>
      </c>
      <c r="U93">
        <v>45.23</v>
      </c>
      <c r="AF93">
        <v>80</v>
      </c>
      <c r="AG93">
        <v>45.44</v>
      </c>
    </row>
    <row r="94" spans="1:45" x14ac:dyDescent="0.25">
      <c r="A94">
        <v>40</v>
      </c>
      <c r="B94">
        <v>0.94399999999999995</v>
      </c>
      <c r="C94" t="s">
        <v>1</v>
      </c>
      <c r="D94">
        <v>0.57299999999999995</v>
      </c>
      <c r="E94">
        <f t="shared" si="3"/>
        <v>39.300847457627121</v>
      </c>
      <c r="T94">
        <v>160</v>
      </c>
      <c r="U94">
        <v>52.55</v>
      </c>
      <c r="AF94">
        <v>160</v>
      </c>
      <c r="AG94">
        <v>52.88</v>
      </c>
    </row>
    <row r="95" spans="1:45" x14ac:dyDescent="0.25">
      <c r="A95">
        <v>40</v>
      </c>
      <c r="B95">
        <v>0.94399999999999995</v>
      </c>
      <c r="C95" t="s">
        <v>2</v>
      </c>
      <c r="D95">
        <v>0.57299999999999995</v>
      </c>
      <c r="E95">
        <f t="shared" si="3"/>
        <v>39.300847457627121</v>
      </c>
    </row>
    <row r="96" spans="1:45" x14ac:dyDescent="0.25">
      <c r="A96">
        <v>80</v>
      </c>
      <c r="B96">
        <v>0.94399999999999995</v>
      </c>
      <c r="C96" t="s">
        <v>0</v>
      </c>
      <c r="D96">
        <v>0.51600000000000001</v>
      </c>
      <c r="E96">
        <f t="shared" si="3"/>
        <v>45.338983050847453</v>
      </c>
      <c r="F96">
        <f>AVERAGE(E96:E98)</f>
        <v>45.338983050847453</v>
      </c>
      <c r="G96">
        <f>STDEV(E96:E98)</f>
        <v>0.10593220338983045</v>
      </c>
    </row>
    <row r="97" spans="1:33" x14ac:dyDescent="0.25">
      <c r="A97">
        <v>80</v>
      </c>
      <c r="B97">
        <v>0.94399999999999995</v>
      </c>
      <c r="C97" t="s">
        <v>1</v>
      </c>
      <c r="D97">
        <v>0.51700000000000002</v>
      </c>
      <c r="E97">
        <f t="shared" si="3"/>
        <v>45.233050847457626</v>
      </c>
      <c r="I97" t="s">
        <v>17</v>
      </c>
      <c r="J97">
        <f>(50-20.315)/0.2396</f>
        <v>123.8939899833055</v>
      </c>
    </row>
    <row r="98" spans="1:33" x14ac:dyDescent="0.25">
      <c r="A98">
        <v>80</v>
      </c>
      <c r="B98">
        <v>0.94399999999999995</v>
      </c>
      <c r="C98" t="s">
        <v>2</v>
      </c>
      <c r="D98">
        <v>0.51500000000000001</v>
      </c>
      <c r="E98">
        <f t="shared" si="3"/>
        <v>45.444915254237287</v>
      </c>
      <c r="T98" t="s">
        <v>17</v>
      </c>
      <c r="U98">
        <f>(50-20.089)/0.2401</f>
        <v>124.57725947521865</v>
      </c>
      <c r="AF98" t="s">
        <v>17</v>
      </c>
      <c r="AG98">
        <f>(50-20.538)/0.2393</f>
        <v>123.11742582532385</v>
      </c>
    </row>
    <row r="99" spans="1:33" x14ac:dyDescent="0.25">
      <c r="A99">
        <v>160</v>
      </c>
      <c r="B99">
        <v>0.94399999999999995</v>
      </c>
      <c r="C99" t="s">
        <v>0</v>
      </c>
      <c r="D99">
        <v>0.44800000000000001</v>
      </c>
      <c r="E99">
        <f t="shared" si="3"/>
        <v>52.542372881355924</v>
      </c>
      <c r="F99">
        <f>AVERAGE(E99:E101)</f>
        <v>52.718926553672304</v>
      </c>
      <c r="G99">
        <f>STDEV(E99:E101)</f>
        <v>0.16181411352245342</v>
      </c>
    </row>
    <row r="100" spans="1:33" x14ac:dyDescent="0.25">
      <c r="A100">
        <v>160</v>
      </c>
      <c r="B100">
        <v>0.94399999999999995</v>
      </c>
      <c r="C100" t="s">
        <v>1</v>
      </c>
      <c r="D100">
        <v>0.44500000000000001</v>
      </c>
      <c r="E100">
        <f t="shared" si="3"/>
        <v>52.860169491525419</v>
      </c>
    </row>
    <row r="101" spans="1:33" x14ac:dyDescent="0.25">
      <c r="A101">
        <v>160</v>
      </c>
      <c r="B101">
        <v>0.94399999999999995</v>
      </c>
      <c r="C101" t="s">
        <v>2</v>
      </c>
      <c r="D101">
        <v>0.44600000000000001</v>
      </c>
      <c r="E101">
        <f t="shared" si="3"/>
        <v>52.754237288135585</v>
      </c>
    </row>
    <row r="107" spans="1:33" x14ac:dyDescent="0.25">
      <c r="A107" t="s">
        <v>5</v>
      </c>
      <c r="B107" t="s">
        <v>7</v>
      </c>
      <c r="C107" t="s">
        <v>6</v>
      </c>
      <c r="D107" t="s">
        <v>8</v>
      </c>
      <c r="E107" t="s">
        <v>4</v>
      </c>
      <c r="F107" t="s">
        <v>9</v>
      </c>
      <c r="G107" t="s">
        <v>3</v>
      </c>
    </row>
    <row r="108" spans="1:33" x14ac:dyDescent="0.25">
      <c r="A108">
        <v>2.5</v>
      </c>
      <c r="B108">
        <v>0.94399999999999995</v>
      </c>
      <c r="C108" t="s">
        <v>0</v>
      </c>
      <c r="D108">
        <v>0.89100000000000001</v>
      </c>
      <c r="E108">
        <f>(((B108-D108)/B108)*100)</f>
        <v>5.6144067796610102</v>
      </c>
      <c r="F108">
        <f>AVERAGE(E108:E110)</f>
        <v>5.4731638418079029</v>
      </c>
      <c r="G108">
        <f>STDEV(E108:E110)</f>
        <v>0.16181411352245187</v>
      </c>
    </row>
    <row r="109" spans="1:33" x14ac:dyDescent="0.25">
      <c r="A109">
        <v>2.5</v>
      </c>
      <c r="B109">
        <v>0.94399999999999995</v>
      </c>
      <c r="C109" t="s">
        <v>1</v>
      </c>
      <c r="D109">
        <v>0.89200000000000002</v>
      </c>
      <c r="E109">
        <f t="shared" ref="E109:E128" si="4">(((B109-D109)/B109)*100)</f>
        <v>5.5084745762711798</v>
      </c>
    </row>
    <row r="110" spans="1:33" x14ac:dyDescent="0.25">
      <c r="A110">
        <v>2.5</v>
      </c>
      <c r="B110">
        <v>0.94399999999999995</v>
      </c>
      <c r="C110" t="s">
        <v>2</v>
      </c>
      <c r="D110">
        <v>0.89400000000000002</v>
      </c>
      <c r="E110">
        <f t="shared" si="4"/>
        <v>5.2966101694915189</v>
      </c>
    </row>
    <row r="111" spans="1:33" x14ac:dyDescent="0.25">
      <c r="A111">
        <v>5</v>
      </c>
      <c r="B111">
        <v>0.94399999999999995</v>
      </c>
      <c r="C111" t="s">
        <v>0</v>
      </c>
      <c r="D111">
        <v>0.84699999999999998</v>
      </c>
      <c r="E111">
        <f t="shared" si="4"/>
        <v>10.275423728813557</v>
      </c>
      <c r="F111">
        <f>AVERAGE(E111:E113)</f>
        <v>10.451977401129941</v>
      </c>
      <c r="G111">
        <f>STDEV(E111:E113)</f>
        <v>0.16181411352245187</v>
      </c>
    </row>
    <row r="112" spans="1:33" x14ac:dyDescent="0.25">
      <c r="A112">
        <v>5</v>
      </c>
      <c r="B112">
        <v>0.94399999999999995</v>
      </c>
      <c r="C112" t="s">
        <v>1</v>
      </c>
      <c r="D112">
        <v>0.84399999999999997</v>
      </c>
      <c r="E112">
        <f t="shared" si="4"/>
        <v>10.593220338983048</v>
      </c>
      <c r="I112" s="2" t="s">
        <v>13</v>
      </c>
    </row>
    <row r="113" spans="1:45" x14ac:dyDescent="0.25">
      <c r="A113">
        <v>5</v>
      </c>
      <c r="B113">
        <v>0.94399999999999995</v>
      </c>
      <c r="C113" t="s">
        <v>2</v>
      </c>
      <c r="D113">
        <v>0.84499999999999997</v>
      </c>
      <c r="E113">
        <f t="shared" si="4"/>
        <v>10.487288135593218</v>
      </c>
      <c r="I113" t="s">
        <v>10</v>
      </c>
      <c r="J113" t="s">
        <v>52</v>
      </c>
      <c r="T113" t="s">
        <v>10</v>
      </c>
      <c r="U113" t="s">
        <v>53</v>
      </c>
      <c r="AF113" t="s">
        <v>10</v>
      </c>
      <c r="AG113" t="s">
        <v>54</v>
      </c>
    </row>
    <row r="114" spans="1:45" x14ac:dyDescent="0.25">
      <c r="A114">
        <v>10</v>
      </c>
      <c r="B114">
        <v>0.94399999999999995</v>
      </c>
      <c r="C114" t="s">
        <v>0</v>
      </c>
      <c r="D114">
        <v>0.75800000000000001</v>
      </c>
      <c r="E114">
        <f t="shared" si="4"/>
        <v>19.70338983050847</v>
      </c>
      <c r="F114">
        <f>AVERAGE(E114:E116)</f>
        <v>19.950564971751408</v>
      </c>
      <c r="G114">
        <f>STDEV(E114:E116)</f>
        <v>0.22051546604514105</v>
      </c>
      <c r="I114">
        <v>2.5</v>
      </c>
      <c r="J114">
        <v>5.47</v>
      </c>
      <c r="T114">
        <v>2.5</v>
      </c>
      <c r="U114">
        <v>5.31</v>
      </c>
      <c r="AF114">
        <v>2.5</v>
      </c>
      <c r="AG114">
        <v>5.63</v>
      </c>
    </row>
    <row r="115" spans="1:45" x14ac:dyDescent="0.25">
      <c r="A115">
        <v>10</v>
      </c>
      <c r="B115">
        <v>0.94399999999999995</v>
      </c>
      <c r="C115" t="s">
        <v>1</v>
      </c>
      <c r="D115">
        <v>0.755</v>
      </c>
      <c r="E115">
        <f t="shared" si="4"/>
        <v>20.021186440677962</v>
      </c>
      <c r="I115">
        <v>5</v>
      </c>
      <c r="J115">
        <v>10.45</v>
      </c>
      <c r="T115">
        <v>5</v>
      </c>
      <c r="U115">
        <v>10.29</v>
      </c>
      <c r="AF115">
        <v>5</v>
      </c>
      <c r="AG115">
        <v>10.61</v>
      </c>
      <c r="AR115" t="s">
        <v>55</v>
      </c>
      <c r="AS115" t="s">
        <v>3</v>
      </c>
    </row>
    <row r="116" spans="1:45" x14ac:dyDescent="0.25">
      <c r="A116">
        <v>10</v>
      </c>
      <c r="B116">
        <v>0.94399999999999995</v>
      </c>
      <c r="C116" t="s">
        <v>2</v>
      </c>
      <c r="D116">
        <v>0.754</v>
      </c>
      <c r="E116">
        <f t="shared" si="4"/>
        <v>20.127118644067792</v>
      </c>
      <c r="I116">
        <v>10</v>
      </c>
      <c r="J116">
        <v>19.95</v>
      </c>
      <c r="T116">
        <v>10</v>
      </c>
      <c r="U116">
        <v>19.73</v>
      </c>
      <c r="AF116">
        <v>10</v>
      </c>
      <c r="AG116">
        <v>20.170000000000002</v>
      </c>
      <c r="AR116">
        <f>(50-14.133)/0.2315</f>
        <v>154.93304535637151</v>
      </c>
      <c r="AS116">
        <f>STDEV(AR116:AR118)</f>
        <v>0.54303308756284208</v>
      </c>
    </row>
    <row r="117" spans="1:45" x14ac:dyDescent="0.25">
      <c r="A117">
        <v>20</v>
      </c>
      <c r="B117">
        <v>0.94399999999999995</v>
      </c>
      <c r="C117" t="s">
        <v>0</v>
      </c>
      <c r="D117">
        <v>0.71099999999999997</v>
      </c>
      <c r="E117">
        <f t="shared" si="4"/>
        <v>24.682203389830509</v>
      </c>
      <c r="F117">
        <f>AVERAGE(E117:E119)</f>
        <v>24.364406779661014</v>
      </c>
      <c r="G117">
        <f>STDEV(E117:E119)</f>
        <v>0.2802702660026048</v>
      </c>
      <c r="I117">
        <v>20</v>
      </c>
      <c r="J117">
        <v>24.36</v>
      </c>
      <c r="T117">
        <v>20</v>
      </c>
      <c r="U117">
        <v>24.08</v>
      </c>
      <c r="AF117">
        <v>20</v>
      </c>
      <c r="AG117">
        <v>24.64</v>
      </c>
      <c r="AR117">
        <f>(50-13.9)/0.2322</f>
        <v>155.4694229112834</v>
      </c>
    </row>
    <row r="118" spans="1:45" x14ac:dyDescent="0.25">
      <c r="A118">
        <v>20</v>
      </c>
      <c r="B118">
        <v>0.94399999999999995</v>
      </c>
      <c r="C118" t="s">
        <v>1</v>
      </c>
      <c r="D118">
        <v>0.71599999999999997</v>
      </c>
      <c r="E118">
        <f t="shared" si="4"/>
        <v>24.152542372881356</v>
      </c>
      <c r="I118">
        <v>40</v>
      </c>
      <c r="J118">
        <v>28.6</v>
      </c>
      <c r="T118">
        <v>40</v>
      </c>
      <c r="U118">
        <v>28.38</v>
      </c>
      <c r="AF118">
        <v>40</v>
      </c>
      <c r="AG118">
        <v>28.81</v>
      </c>
      <c r="AR118">
        <f>(50-14.322)/0.2311</f>
        <v>154.38338381652963</v>
      </c>
    </row>
    <row r="119" spans="1:45" x14ac:dyDescent="0.25">
      <c r="A119">
        <v>20</v>
      </c>
      <c r="B119">
        <v>0.94399999999999995</v>
      </c>
      <c r="C119" t="s">
        <v>2</v>
      </c>
      <c r="D119">
        <v>0.71499999999999997</v>
      </c>
      <c r="E119">
        <f t="shared" si="4"/>
        <v>24.258474576271187</v>
      </c>
      <c r="I119">
        <v>80</v>
      </c>
      <c r="J119">
        <v>35.869999999999997</v>
      </c>
      <c r="T119">
        <v>80</v>
      </c>
      <c r="U119">
        <v>35.71</v>
      </c>
      <c r="AF119">
        <v>80</v>
      </c>
      <c r="AG119">
        <v>36.03</v>
      </c>
    </row>
    <row r="120" spans="1:45" x14ac:dyDescent="0.25">
      <c r="A120">
        <v>40</v>
      </c>
      <c r="B120">
        <v>0.94399999999999995</v>
      </c>
      <c r="C120" t="s">
        <v>0</v>
      </c>
      <c r="D120">
        <v>0.67200000000000004</v>
      </c>
      <c r="E120">
        <f t="shared" si="4"/>
        <v>28.813559322033889</v>
      </c>
      <c r="F120">
        <f>AVERAGE(E120:E122)</f>
        <v>28.601694915254228</v>
      </c>
      <c r="G120">
        <f>STDEV(E120:E122)</f>
        <v>0.2118644067796609</v>
      </c>
      <c r="I120">
        <v>160</v>
      </c>
      <c r="J120">
        <v>47.63</v>
      </c>
      <c r="T120">
        <v>160</v>
      </c>
      <c r="U120">
        <v>47.51</v>
      </c>
      <c r="AF120">
        <v>160</v>
      </c>
      <c r="AG120">
        <v>47.75</v>
      </c>
    </row>
    <row r="121" spans="1:45" x14ac:dyDescent="0.25">
      <c r="A121">
        <v>40</v>
      </c>
      <c r="B121">
        <v>0.94399999999999995</v>
      </c>
      <c r="C121" t="s">
        <v>1</v>
      </c>
      <c r="D121">
        <v>0.67600000000000005</v>
      </c>
      <c r="E121">
        <f t="shared" si="4"/>
        <v>28.389830508474567</v>
      </c>
    </row>
    <row r="122" spans="1:45" x14ac:dyDescent="0.25">
      <c r="A122">
        <v>40</v>
      </c>
      <c r="B122">
        <v>0.94399999999999995</v>
      </c>
      <c r="C122" t="s">
        <v>2</v>
      </c>
      <c r="D122">
        <v>0.67400000000000004</v>
      </c>
      <c r="E122">
        <f t="shared" si="4"/>
        <v>28.601694915254228</v>
      </c>
    </row>
    <row r="123" spans="1:45" x14ac:dyDescent="0.25">
      <c r="A123">
        <v>80</v>
      </c>
      <c r="B123">
        <v>0.94399999999999995</v>
      </c>
      <c r="C123" t="s">
        <v>0</v>
      </c>
      <c r="D123">
        <v>0.60699999999999998</v>
      </c>
      <c r="E123">
        <f t="shared" si="4"/>
        <v>35.699152542372879</v>
      </c>
      <c r="F123">
        <f>AVERAGE(E123:E125)</f>
        <v>35.875706214689266</v>
      </c>
      <c r="G123">
        <f>STDEV(E123:E125)</f>
        <v>0.16181411352245345</v>
      </c>
    </row>
    <row r="124" spans="1:45" x14ac:dyDescent="0.25">
      <c r="A124">
        <v>80</v>
      </c>
      <c r="B124">
        <v>0.94399999999999995</v>
      </c>
      <c r="C124" t="s">
        <v>1</v>
      </c>
      <c r="D124">
        <v>0.60499999999999998</v>
      </c>
      <c r="E124">
        <f t="shared" si="4"/>
        <v>35.91101694915254</v>
      </c>
      <c r="I124" t="s">
        <v>17</v>
      </c>
      <c r="J124">
        <f>(50-14.133)/0.2315</f>
        <v>154.93304535637151</v>
      </c>
      <c r="T124" t="s">
        <v>17</v>
      </c>
      <c r="U124">
        <f>(50-13.9)/0.2322</f>
        <v>155.4694229112834</v>
      </c>
      <c r="AF124" t="s">
        <v>17</v>
      </c>
      <c r="AG124">
        <f>(50-14.322)/0.2311</f>
        <v>154.38338381652963</v>
      </c>
    </row>
    <row r="125" spans="1:45" x14ac:dyDescent="0.25">
      <c r="A125">
        <v>80</v>
      </c>
      <c r="B125">
        <v>0.94399999999999995</v>
      </c>
      <c r="C125" t="s">
        <v>2</v>
      </c>
      <c r="D125">
        <v>0.60399999999999998</v>
      </c>
      <c r="E125">
        <f t="shared" si="4"/>
        <v>36.016949152542374</v>
      </c>
    </row>
    <row r="126" spans="1:45" x14ac:dyDescent="0.25">
      <c r="A126">
        <v>160</v>
      </c>
      <c r="B126">
        <v>0.94399999999999995</v>
      </c>
      <c r="C126" t="s">
        <v>0</v>
      </c>
      <c r="D126">
        <v>0.49299999999999999</v>
      </c>
      <c r="E126">
        <f t="shared" si="4"/>
        <v>47.775423728813557</v>
      </c>
      <c r="F126">
        <f>AVERAGE(E126:E128)</f>
        <v>47.634180790960443</v>
      </c>
      <c r="G126">
        <f>STDEV(E126:E128)</f>
        <v>0.12231997228593759</v>
      </c>
    </row>
    <row r="127" spans="1:45" x14ac:dyDescent="0.25">
      <c r="A127">
        <v>160</v>
      </c>
      <c r="B127">
        <v>0.94399999999999995</v>
      </c>
      <c r="C127" t="s">
        <v>1</v>
      </c>
      <c r="D127">
        <v>0.495</v>
      </c>
      <c r="E127">
        <f t="shared" si="4"/>
        <v>47.563559322033896</v>
      </c>
    </row>
    <row r="128" spans="1:45" x14ac:dyDescent="0.25">
      <c r="A128">
        <v>160</v>
      </c>
      <c r="B128">
        <v>0.94399999999999995</v>
      </c>
      <c r="C128" t="s">
        <v>2</v>
      </c>
      <c r="D128">
        <v>0.495</v>
      </c>
      <c r="E128">
        <f t="shared" si="4"/>
        <v>47.563559322033896</v>
      </c>
    </row>
    <row r="133" spans="1:46" x14ac:dyDescent="0.25">
      <c r="A133" t="s">
        <v>5</v>
      </c>
      <c r="B133" t="s">
        <v>7</v>
      </c>
      <c r="C133" t="s">
        <v>6</v>
      </c>
      <c r="D133" t="s">
        <v>8</v>
      </c>
      <c r="E133" t="s">
        <v>4</v>
      </c>
      <c r="F133" t="s">
        <v>9</v>
      </c>
      <c r="G133" t="s">
        <v>3</v>
      </c>
    </row>
    <row r="134" spans="1:46" x14ac:dyDescent="0.25">
      <c r="A134">
        <v>2.5</v>
      </c>
      <c r="B134">
        <v>0.94399999999999995</v>
      </c>
      <c r="C134" t="s">
        <v>0</v>
      </c>
      <c r="D134">
        <v>0.91600000000000004</v>
      </c>
      <c r="E134">
        <f>(((B134-D134)/B134)*100)</f>
        <v>2.9661016949152454</v>
      </c>
      <c r="F134">
        <f>AVERAGE(E134:E136)</f>
        <v>3.2132768361581832</v>
      </c>
      <c r="G134">
        <f>STDEV(E134:E136)</f>
        <v>0.22051546604514141</v>
      </c>
    </row>
    <row r="135" spans="1:46" x14ac:dyDescent="0.25">
      <c r="A135">
        <v>2.5</v>
      </c>
      <c r="B135">
        <v>0.94399999999999995</v>
      </c>
      <c r="C135" t="s">
        <v>1</v>
      </c>
      <c r="D135">
        <v>0.91300000000000003</v>
      </c>
      <c r="E135">
        <f t="shared" ref="E135:E154" si="5">(((B135-D135)/B135)*100)</f>
        <v>3.2838983050847368</v>
      </c>
    </row>
    <row r="136" spans="1:46" x14ac:dyDescent="0.25">
      <c r="A136">
        <v>2.5</v>
      </c>
      <c r="B136">
        <v>0.94399999999999995</v>
      </c>
      <c r="C136" t="s">
        <v>2</v>
      </c>
      <c r="D136">
        <v>0.91200000000000003</v>
      </c>
      <c r="E136">
        <f t="shared" si="5"/>
        <v>3.3898305084745681</v>
      </c>
    </row>
    <row r="137" spans="1:46" x14ac:dyDescent="0.25">
      <c r="A137">
        <v>5</v>
      </c>
      <c r="B137">
        <v>0.94399999999999995</v>
      </c>
      <c r="C137" t="s">
        <v>0</v>
      </c>
      <c r="D137">
        <v>0.876</v>
      </c>
      <c r="E137">
        <f t="shared" si="5"/>
        <v>7.2033898305084696</v>
      </c>
      <c r="F137">
        <f>AVERAGE(E137:E139)</f>
        <v>7.4505649717514073</v>
      </c>
      <c r="G137">
        <f>STDEV(E137:E139)</f>
        <v>0.22051546604514105</v>
      </c>
    </row>
    <row r="138" spans="1:46" x14ac:dyDescent="0.25">
      <c r="A138">
        <v>5</v>
      </c>
      <c r="B138">
        <v>0.94399999999999995</v>
      </c>
      <c r="C138" t="s">
        <v>1</v>
      </c>
      <c r="D138">
        <v>0.873</v>
      </c>
      <c r="E138">
        <f t="shared" si="5"/>
        <v>7.5211864406779609</v>
      </c>
    </row>
    <row r="139" spans="1:46" x14ac:dyDescent="0.25">
      <c r="A139">
        <v>5</v>
      </c>
      <c r="B139">
        <v>0.94399999999999995</v>
      </c>
      <c r="C139" t="s">
        <v>2</v>
      </c>
      <c r="D139">
        <v>0.872</v>
      </c>
      <c r="E139">
        <f t="shared" si="5"/>
        <v>7.6271186440677914</v>
      </c>
      <c r="I139" s="2" t="s">
        <v>12</v>
      </c>
    </row>
    <row r="140" spans="1:46" x14ac:dyDescent="0.25">
      <c r="A140">
        <v>10</v>
      </c>
      <c r="B140">
        <v>0.94399999999999995</v>
      </c>
      <c r="C140" t="s">
        <v>0</v>
      </c>
      <c r="D140">
        <v>0.79800000000000004</v>
      </c>
      <c r="E140">
        <f t="shared" si="5"/>
        <v>15.466101694915245</v>
      </c>
      <c r="F140">
        <f>AVERAGE(E140:E142)</f>
        <v>15.642655367231631</v>
      </c>
      <c r="G140">
        <f>STDEV(E140:E142)</f>
        <v>0.1618141135224519</v>
      </c>
      <c r="I140" t="s">
        <v>10</v>
      </c>
      <c r="J140" t="s">
        <v>52</v>
      </c>
      <c r="T140" t="s">
        <v>10</v>
      </c>
      <c r="U140" t="s">
        <v>53</v>
      </c>
      <c r="AF140" t="s">
        <v>10</v>
      </c>
      <c r="AG140" t="s">
        <v>54</v>
      </c>
    </row>
    <row r="141" spans="1:46" x14ac:dyDescent="0.25">
      <c r="A141">
        <v>10</v>
      </c>
      <c r="B141">
        <v>0.94399999999999995</v>
      </c>
      <c r="C141" t="s">
        <v>1</v>
      </c>
      <c r="D141">
        <v>0.79500000000000004</v>
      </c>
      <c r="E141">
        <f t="shared" si="5"/>
        <v>15.783898305084737</v>
      </c>
      <c r="I141">
        <v>2.5</v>
      </c>
      <c r="J141">
        <v>3.21</v>
      </c>
      <c r="T141">
        <v>2.5</v>
      </c>
      <c r="U141">
        <v>2.99</v>
      </c>
      <c r="AF141">
        <v>2.5</v>
      </c>
      <c r="AG141">
        <v>3.43</v>
      </c>
      <c r="AS141" t="s">
        <v>55</v>
      </c>
      <c r="AT141" t="s">
        <v>3</v>
      </c>
    </row>
    <row r="142" spans="1:46" x14ac:dyDescent="0.25">
      <c r="A142">
        <v>10</v>
      </c>
      <c r="B142">
        <v>0.94399999999999995</v>
      </c>
      <c r="C142" t="s">
        <v>2</v>
      </c>
      <c r="D142">
        <v>0.79600000000000004</v>
      </c>
      <c r="E142">
        <f t="shared" si="5"/>
        <v>15.677966101694906</v>
      </c>
      <c r="I142">
        <v>5</v>
      </c>
      <c r="J142">
        <v>7.45</v>
      </c>
      <c r="T142">
        <v>5</v>
      </c>
      <c r="U142">
        <v>7.23</v>
      </c>
      <c r="AF142">
        <v>5</v>
      </c>
      <c r="AG142">
        <v>7.67</v>
      </c>
      <c r="AS142">
        <f>(50-12.065)/0.259</f>
        <v>146.46718146718146</v>
      </c>
      <c r="AT142">
        <f>STDEV(AS142:AS144)</f>
        <v>0.5410405151358133</v>
      </c>
    </row>
    <row r="143" spans="1:46" x14ac:dyDescent="0.25">
      <c r="A143">
        <v>20</v>
      </c>
      <c r="B143">
        <v>0.94399999999999995</v>
      </c>
      <c r="C143" t="s">
        <v>0</v>
      </c>
      <c r="D143">
        <v>0.71299999999999997</v>
      </c>
      <c r="E143">
        <f t="shared" si="5"/>
        <v>24.470338983050848</v>
      </c>
      <c r="F143">
        <f>AVERAGE(E143:E145)</f>
        <v>24.258474576271187</v>
      </c>
      <c r="G143">
        <f>STDEV(E143:E145)</f>
        <v>0.2118644067796609</v>
      </c>
      <c r="I143">
        <v>10</v>
      </c>
      <c r="J143">
        <v>15.64</v>
      </c>
      <c r="T143">
        <v>10</v>
      </c>
      <c r="U143">
        <v>15.48</v>
      </c>
      <c r="AF143">
        <v>10</v>
      </c>
      <c r="AG143">
        <v>15.8</v>
      </c>
      <c r="AS143">
        <f>(50-11.809)/0.2599</f>
        <v>146.94497883801461</v>
      </c>
    </row>
    <row r="144" spans="1:46" x14ac:dyDescent="0.25">
      <c r="A144">
        <v>20</v>
      </c>
      <c r="B144">
        <v>0.94399999999999995</v>
      </c>
      <c r="C144" t="s">
        <v>1</v>
      </c>
      <c r="D144">
        <v>0.71699999999999997</v>
      </c>
      <c r="E144">
        <f t="shared" si="5"/>
        <v>24.046610169491526</v>
      </c>
      <c r="I144">
        <v>20</v>
      </c>
      <c r="J144">
        <v>24.25</v>
      </c>
      <c r="T144">
        <v>20</v>
      </c>
      <c r="U144">
        <v>24.04</v>
      </c>
      <c r="AF144">
        <v>20</v>
      </c>
      <c r="AG144">
        <v>24.47</v>
      </c>
      <c r="AS144">
        <f>(50-12.323)/0.2583</f>
        <v>145.8652729384437</v>
      </c>
    </row>
    <row r="145" spans="1:33" x14ac:dyDescent="0.25">
      <c r="A145">
        <v>20</v>
      </c>
      <c r="B145">
        <v>0.94399999999999995</v>
      </c>
      <c r="C145" t="s">
        <v>2</v>
      </c>
      <c r="D145">
        <v>0.71499999999999997</v>
      </c>
      <c r="E145">
        <f t="shared" si="5"/>
        <v>24.258474576271187</v>
      </c>
      <c r="I145">
        <v>40</v>
      </c>
      <c r="J145">
        <v>29.69</v>
      </c>
      <c r="T145">
        <v>40</v>
      </c>
      <c r="U145">
        <v>29.19</v>
      </c>
      <c r="AF145">
        <v>40</v>
      </c>
      <c r="AG145">
        <v>30.19</v>
      </c>
    </row>
    <row r="146" spans="1:33" x14ac:dyDescent="0.25">
      <c r="A146">
        <v>40</v>
      </c>
      <c r="B146">
        <v>0.94399999999999995</v>
      </c>
      <c r="C146" t="s">
        <v>0</v>
      </c>
      <c r="D146">
        <v>0.66900000000000004</v>
      </c>
      <c r="E146">
        <f t="shared" si="5"/>
        <v>29.131355932203384</v>
      </c>
      <c r="F146">
        <f>AVERAGE(E146:E148)</f>
        <v>29.696327683615809</v>
      </c>
      <c r="G146">
        <f>STDEV(E146:E148)</f>
        <v>0.50061606210303022</v>
      </c>
      <c r="I146">
        <v>80</v>
      </c>
      <c r="J146">
        <v>37.950000000000003</v>
      </c>
      <c r="T146">
        <v>80</v>
      </c>
      <c r="U146">
        <v>37.83</v>
      </c>
      <c r="AF146">
        <v>80</v>
      </c>
      <c r="AG146">
        <v>38.08</v>
      </c>
    </row>
    <row r="147" spans="1:33" x14ac:dyDescent="0.25">
      <c r="A147">
        <v>40</v>
      </c>
      <c r="B147">
        <v>0.94399999999999995</v>
      </c>
      <c r="C147" t="s">
        <v>1</v>
      </c>
      <c r="D147">
        <v>0.66</v>
      </c>
      <c r="E147">
        <f t="shared" si="5"/>
        <v>30.084745762711858</v>
      </c>
      <c r="I147">
        <v>160</v>
      </c>
      <c r="J147">
        <v>48.51</v>
      </c>
      <c r="T147">
        <v>160</v>
      </c>
      <c r="U147">
        <v>48.41</v>
      </c>
      <c r="AF147">
        <v>160</v>
      </c>
      <c r="AG147">
        <v>48.62</v>
      </c>
    </row>
    <row r="148" spans="1:33" x14ac:dyDescent="0.25">
      <c r="A148">
        <v>40</v>
      </c>
      <c r="B148">
        <v>0.94399999999999995</v>
      </c>
      <c r="C148" t="s">
        <v>2</v>
      </c>
      <c r="D148">
        <v>0.66200000000000003</v>
      </c>
      <c r="E148">
        <f t="shared" si="5"/>
        <v>29.872881355932197</v>
      </c>
    </row>
    <row r="149" spans="1:33" x14ac:dyDescent="0.25">
      <c r="A149">
        <v>80</v>
      </c>
      <c r="B149">
        <v>0.94399999999999995</v>
      </c>
      <c r="C149" t="s">
        <v>0</v>
      </c>
      <c r="D149">
        <v>0.58699999999999997</v>
      </c>
      <c r="E149">
        <f t="shared" si="5"/>
        <v>37.817796610169488</v>
      </c>
      <c r="F149">
        <f>AVERAGE(E149:E151)</f>
        <v>37.959039548022595</v>
      </c>
      <c r="G149">
        <f>STDEV(E149:E151)</f>
        <v>0.12231997228593758</v>
      </c>
    </row>
    <row r="150" spans="1:33" x14ac:dyDescent="0.25">
      <c r="A150">
        <v>80</v>
      </c>
      <c r="B150">
        <v>0.94399999999999995</v>
      </c>
      <c r="C150" t="s">
        <v>1</v>
      </c>
      <c r="D150">
        <v>0.58499999999999996</v>
      </c>
      <c r="E150">
        <f t="shared" si="5"/>
        <v>38.029661016949149</v>
      </c>
    </row>
    <row r="151" spans="1:33" x14ac:dyDescent="0.25">
      <c r="A151">
        <v>80</v>
      </c>
      <c r="B151">
        <v>0.94399999999999995</v>
      </c>
      <c r="C151" t="s">
        <v>2</v>
      </c>
      <c r="D151">
        <v>0.58499999999999996</v>
      </c>
      <c r="E151">
        <f t="shared" si="5"/>
        <v>38.029661016949149</v>
      </c>
      <c r="I151" t="s">
        <v>17</v>
      </c>
      <c r="J151">
        <f>(50-12.065)/0.259</f>
        <v>146.46718146718146</v>
      </c>
      <c r="T151" t="s">
        <v>17</v>
      </c>
      <c r="U151">
        <f>(50-11.809)/0.2599</f>
        <v>146.94497883801461</v>
      </c>
      <c r="AF151" t="s">
        <v>17</v>
      </c>
      <c r="AG151">
        <f>(50-12.323)/0.2583</f>
        <v>145.8652729384437</v>
      </c>
    </row>
    <row r="152" spans="1:33" x14ac:dyDescent="0.25">
      <c r="A152">
        <v>160</v>
      </c>
      <c r="B152">
        <v>0.94399999999999995</v>
      </c>
      <c r="C152" t="s">
        <v>0</v>
      </c>
      <c r="D152">
        <v>0.48699999999999999</v>
      </c>
      <c r="E152">
        <f t="shared" si="5"/>
        <v>48.41101694915254</v>
      </c>
      <c r="F152">
        <f>AVERAGE(E152:E154)</f>
        <v>48.516949152542374</v>
      </c>
      <c r="G152">
        <f>STDEV(E152:E154)</f>
        <v>0.10593220338983045</v>
      </c>
    </row>
    <row r="153" spans="1:33" x14ac:dyDescent="0.25">
      <c r="A153">
        <v>160</v>
      </c>
      <c r="B153">
        <v>0.94399999999999995</v>
      </c>
      <c r="C153" t="s">
        <v>1</v>
      </c>
      <c r="D153">
        <v>0.48599999999999999</v>
      </c>
      <c r="E153">
        <f t="shared" si="5"/>
        <v>48.516949152542374</v>
      </c>
    </row>
    <row r="154" spans="1:33" x14ac:dyDescent="0.25">
      <c r="A154">
        <v>160</v>
      </c>
      <c r="B154">
        <v>0.94399999999999995</v>
      </c>
      <c r="C154" t="s">
        <v>2</v>
      </c>
      <c r="D154">
        <v>0.48499999999999999</v>
      </c>
      <c r="E154">
        <f t="shared" si="5"/>
        <v>48.622881355932201</v>
      </c>
    </row>
    <row r="161" spans="2:3" x14ac:dyDescent="0.25">
      <c r="B161" s="3" t="s">
        <v>19</v>
      </c>
    </row>
    <row r="162" spans="2:3" x14ac:dyDescent="0.25">
      <c r="B162" t="s">
        <v>31</v>
      </c>
    </row>
    <row r="163" spans="2:3" x14ac:dyDescent="0.25">
      <c r="C163">
        <v>0.96399999999999997</v>
      </c>
    </row>
    <row r="164" spans="2:3" x14ac:dyDescent="0.25">
      <c r="C164">
        <v>0.92100000000000004</v>
      </c>
    </row>
    <row r="165" spans="2:3" x14ac:dyDescent="0.25">
      <c r="C165">
        <v>0.94699999999999995</v>
      </c>
    </row>
    <row r="166" spans="2:3" x14ac:dyDescent="0.25">
      <c r="B166" t="s">
        <v>22</v>
      </c>
      <c r="C166">
        <f>AVERAGE(C163:C165)</f>
        <v>0.94399999999999995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7"/>
  <sheetViews>
    <sheetView topLeftCell="K7" workbookViewId="0">
      <selection activeCell="V137" sqref="V137"/>
    </sheetView>
  </sheetViews>
  <sheetFormatPr defaultRowHeight="15" x14ac:dyDescent="0.25"/>
  <sheetData>
    <row r="1" spans="1:46" x14ac:dyDescent="0.25">
      <c r="A1" t="s">
        <v>5</v>
      </c>
      <c r="B1" t="s">
        <v>7</v>
      </c>
      <c r="C1" t="s">
        <v>6</v>
      </c>
      <c r="D1" t="s">
        <v>8</v>
      </c>
      <c r="E1" t="s">
        <v>4</v>
      </c>
      <c r="F1" t="s">
        <v>9</v>
      </c>
      <c r="G1" t="s">
        <v>3</v>
      </c>
    </row>
    <row r="2" spans="1:46" x14ac:dyDescent="0.25">
      <c r="A2">
        <v>5</v>
      </c>
      <c r="B2">
        <v>0.78400000000000003</v>
      </c>
      <c r="C2" t="s">
        <v>0</v>
      </c>
      <c r="D2">
        <v>0.69499999999999995</v>
      </c>
      <c r="E2">
        <f t="shared" ref="E2:E16" si="0">(((B2-D2)/B2)*100)</f>
        <v>11.352040816326541</v>
      </c>
      <c r="F2">
        <f>AVERAGE(E2:E4)</f>
        <v>11.096938775510216</v>
      </c>
      <c r="G2">
        <f>STDEV(E2:E4)</f>
        <v>0.25510204081632715</v>
      </c>
    </row>
    <row r="3" spans="1:46" x14ac:dyDescent="0.25">
      <c r="A3">
        <v>5</v>
      </c>
      <c r="B3">
        <v>0.78400000000000003</v>
      </c>
      <c r="C3" t="s">
        <v>1</v>
      </c>
      <c r="D3">
        <v>0.69899999999999995</v>
      </c>
      <c r="E3">
        <f t="shared" si="0"/>
        <v>10.841836734693887</v>
      </c>
    </row>
    <row r="4" spans="1:46" x14ac:dyDescent="0.25">
      <c r="A4">
        <v>5</v>
      </c>
      <c r="B4">
        <v>0.78400000000000003</v>
      </c>
      <c r="C4" t="s">
        <v>2</v>
      </c>
      <c r="D4">
        <v>0.69699999999999995</v>
      </c>
      <c r="E4">
        <f t="shared" si="0"/>
        <v>11.096938775510214</v>
      </c>
    </row>
    <row r="5" spans="1:46" x14ac:dyDescent="0.25">
      <c r="A5">
        <v>10</v>
      </c>
      <c r="B5">
        <v>0.78400000000000003</v>
      </c>
      <c r="C5" t="s">
        <v>0</v>
      </c>
      <c r="D5">
        <v>0.53200000000000003</v>
      </c>
      <c r="E5">
        <f t="shared" si="0"/>
        <v>32.142857142857139</v>
      </c>
      <c r="F5">
        <f>AVERAGE(E5:E7)</f>
        <v>31.717687074829929</v>
      </c>
      <c r="G5">
        <f>STDEV(E5:E7)</f>
        <v>0.38967480399284216</v>
      </c>
    </row>
    <row r="6" spans="1:46" x14ac:dyDescent="0.25">
      <c r="A6">
        <v>10</v>
      </c>
      <c r="B6">
        <v>0.78400000000000003</v>
      </c>
      <c r="C6" t="s">
        <v>1</v>
      </c>
      <c r="D6">
        <v>0.53600000000000003</v>
      </c>
      <c r="E6">
        <f t="shared" si="0"/>
        <v>31.632653061224485</v>
      </c>
    </row>
    <row r="7" spans="1:46" x14ac:dyDescent="0.25">
      <c r="A7">
        <v>10</v>
      </c>
      <c r="B7">
        <v>0.78400000000000003</v>
      </c>
      <c r="C7" t="s">
        <v>2</v>
      </c>
      <c r="D7">
        <v>0.53800000000000003</v>
      </c>
      <c r="E7">
        <f t="shared" si="0"/>
        <v>31.377551020408163</v>
      </c>
      <c r="I7" t="s">
        <v>10</v>
      </c>
      <c r="J7" t="s">
        <v>9</v>
      </c>
      <c r="T7" t="s">
        <v>10</v>
      </c>
      <c r="U7" t="s">
        <v>53</v>
      </c>
      <c r="AF7" t="s">
        <v>10</v>
      </c>
      <c r="AG7" t="s">
        <v>54</v>
      </c>
    </row>
    <row r="8" spans="1:46" x14ac:dyDescent="0.25">
      <c r="A8">
        <v>20</v>
      </c>
      <c r="B8">
        <v>0.78400000000000003</v>
      </c>
      <c r="C8" t="s">
        <v>0</v>
      </c>
      <c r="D8">
        <v>0.34699999999999998</v>
      </c>
      <c r="E8">
        <f t="shared" si="0"/>
        <v>55.739795918367349</v>
      </c>
      <c r="F8">
        <f>AVERAGE(E8:E10)</f>
        <v>55.739795918367349</v>
      </c>
      <c r="G8">
        <f>STDEV(E8:E10)</f>
        <v>0.12755102040816624</v>
      </c>
      <c r="I8">
        <v>5</v>
      </c>
      <c r="J8">
        <v>11.09</v>
      </c>
      <c r="T8">
        <v>5</v>
      </c>
      <c r="U8">
        <v>10.84</v>
      </c>
      <c r="AF8">
        <v>5</v>
      </c>
      <c r="AG8">
        <v>11.35</v>
      </c>
      <c r="AS8" t="s">
        <v>55</v>
      </c>
      <c r="AT8" t="s">
        <v>3</v>
      </c>
    </row>
    <row r="9" spans="1:46" x14ac:dyDescent="0.25">
      <c r="A9">
        <v>20</v>
      </c>
      <c r="B9">
        <v>0.78400000000000003</v>
      </c>
      <c r="C9" t="s">
        <v>1</v>
      </c>
      <c r="D9">
        <v>0.34599999999999997</v>
      </c>
      <c r="E9">
        <f t="shared" si="0"/>
        <v>55.867346938775519</v>
      </c>
      <c r="I9">
        <v>10</v>
      </c>
      <c r="J9">
        <v>31.71</v>
      </c>
      <c r="T9">
        <v>10</v>
      </c>
      <c r="U9">
        <v>31.32</v>
      </c>
      <c r="AF9">
        <v>10</v>
      </c>
      <c r="AG9">
        <v>32.1</v>
      </c>
      <c r="AS9">
        <f>(50-22.9)/0.9645</f>
        <v>28.097459823742874</v>
      </c>
      <c r="AT9">
        <f>STDEV(AS9:AS11)</f>
        <v>0.32398712183751527</v>
      </c>
    </row>
    <row r="10" spans="1:46" x14ac:dyDescent="0.25">
      <c r="A10">
        <v>20</v>
      </c>
      <c r="B10">
        <v>0.78400000000000003</v>
      </c>
      <c r="C10" t="s">
        <v>2</v>
      </c>
      <c r="D10">
        <v>0.34799999999999998</v>
      </c>
      <c r="E10">
        <f t="shared" si="0"/>
        <v>55.612244897959187</v>
      </c>
      <c r="I10">
        <v>20</v>
      </c>
      <c r="J10">
        <v>55.73</v>
      </c>
      <c r="T10">
        <v>20</v>
      </c>
      <c r="U10">
        <v>55.61</v>
      </c>
      <c r="AF10">
        <v>20</v>
      </c>
      <c r="AG10">
        <v>55.86</v>
      </c>
      <c r="AS10">
        <f>(50-22.617)/0.9635</f>
        <v>28.420342501297352</v>
      </c>
    </row>
    <row r="11" spans="1:46" x14ac:dyDescent="0.25">
      <c r="A11">
        <v>40</v>
      </c>
      <c r="B11">
        <v>0.78400000000000003</v>
      </c>
      <c r="C11" t="s">
        <v>0</v>
      </c>
      <c r="D11">
        <v>0.20699999999999999</v>
      </c>
      <c r="E11">
        <f t="shared" si="0"/>
        <v>73.59693877551021</v>
      </c>
      <c r="F11">
        <f>AVERAGE(E11:E13)</f>
        <v>73.80952380952381</v>
      </c>
      <c r="G11">
        <f>STDEV(E11:E13)</f>
        <v>0.48290036954082927</v>
      </c>
      <c r="I11">
        <v>40</v>
      </c>
      <c r="J11">
        <v>73.8</v>
      </c>
      <c r="T11">
        <v>40</v>
      </c>
      <c r="U11">
        <v>73.319999999999993</v>
      </c>
      <c r="AF11">
        <v>40</v>
      </c>
      <c r="AG11">
        <v>74.290000000000006</v>
      </c>
      <c r="AS11">
        <f>(50-23.183)/0.9656</f>
        <v>27.772369511184756</v>
      </c>
    </row>
    <row r="12" spans="1:46" x14ac:dyDescent="0.25">
      <c r="A12">
        <v>40</v>
      </c>
      <c r="B12">
        <v>0.78400000000000003</v>
      </c>
      <c r="C12" t="s">
        <v>1</v>
      </c>
      <c r="D12">
        <v>0.20100000000000001</v>
      </c>
      <c r="E12">
        <f t="shared" si="0"/>
        <v>74.362244897959172</v>
      </c>
      <c r="I12">
        <v>80</v>
      </c>
      <c r="J12">
        <v>91.66</v>
      </c>
      <c r="T12">
        <v>80</v>
      </c>
      <c r="U12">
        <v>91.34</v>
      </c>
      <c r="AF12">
        <v>80</v>
      </c>
      <c r="AG12">
        <v>91.98</v>
      </c>
    </row>
    <row r="13" spans="1:46" x14ac:dyDescent="0.25">
      <c r="A13">
        <v>40</v>
      </c>
      <c r="B13">
        <v>0.78400000000000003</v>
      </c>
      <c r="C13" t="s">
        <v>2</v>
      </c>
      <c r="D13">
        <v>0.20799999999999999</v>
      </c>
      <c r="E13">
        <f t="shared" si="0"/>
        <v>73.469387755102048</v>
      </c>
    </row>
    <row r="14" spans="1:46" x14ac:dyDescent="0.25">
      <c r="A14">
        <v>80</v>
      </c>
      <c r="B14">
        <v>0.78400000000000003</v>
      </c>
      <c r="C14" t="s">
        <v>0</v>
      </c>
      <c r="D14">
        <v>6.5000000000000002E-2</v>
      </c>
      <c r="E14">
        <f t="shared" si="0"/>
        <v>91.709183673469397</v>
      </c>
      <c r="F14">
        <f>AVERAGE(E14:E16)</f>
        <v>91.666666666666671</v>
      </c>
      <c r="G14">
        <f>STDEV(E14:E16)</f>
        <v>0.32099636204383047</v>
      </c>
    </row>
    <row r="15" spans="1:46" x14ac:dyDescent="0.25">
      <c r="A15">
        <v>80</v>
      </c>
      <c r="B15">
        <v>0.78400000000000003</v>
      </c>
      <c r="C15" t="s">
        <v>1</v>
      </c>
      <c r="D15">
        <v>6.3E-2</v>
      </c>
      <c r="E15">
        <f t="shared" si="0"/>
        <v>91.964285714285722</v>
      </c>
      <c r="I15" t="s">
        <v>17</v>
      </c>
      <c r="J15">
        <f>(50-22.9)/0.9645</f>
        <v>28.097459823742874</v>
      </c>
      <c r="T15" t="s">
        <v>17</v>
      </c>
      <c r="U15">
        <f>(50-22.617)/0.9635</f>
        <v>28.420342501297352</v>
      </c>
      <c r="AF15" t="s">
        <v>17</v>
      </c>
      <c r="AG15">
        <f>(50-23.183)/0.9656</f>
        <v>27.772369511184756</v>
      </c>
    </row>
    <row r="16" spans="1:46" x14ac:dyDescent="0.25">
      <c r="A16">
        <v>80</v>
      </c>
      <c r="B16">
        <v>0.78400000000000003</v>
      </c>
      <c r="C16" t="s">
        <v>2</v>
      </c>
      <c r="D16">
        <v>6.8000000000000005E-2</v>
      </c>
      <c r="E16">
        <f t="shared" si="0"/>
        <v>91.326530612244895</v>
      </c>
    </row>
    <row r="27" spans="1:7" x14ac:dyDescent="0.25">
      <c r="A27" t="s">
        <v>5</v>
      </c>
      <c r="B27" t="s">
        <v>7</v>
      </c>
      <c r="C27" t="s">
        <v>6</v>
      </c>
      <c r="D27" t="s">
        <v>8</v>
      </c>
      <c r="E27" t="s">
        <v>48</v>
      </c>
      <c r="F27" t="s">
        <v>9</v>
      </c>
      <c r="G27" t="s">
        <v>3</v>
      </c>
    </row>
    <row r="28" spans="1:7" x14ac:dyDescent="0.25">
      <c r="A28">
        <v>2.5</v>
      </c>
      <c r="B28">
        <v>0.78400000000000003</v>
      </c>
      <c r="C28" t="s">
        <v>0</v>
      </c>
      <c r="D28">
        <v>0.78300000000000003</v>
      </c>
      <c r="E28">
        <f t="shared" ref="E28:E48" si="1">(((B28-D28)/B28)*100)</f>
        <v>0.12755102040816335</v>
      </c>
      <c r="F28">
        <f>AVERAGE(E28:E30)</f>
        <v>0.21258503401360559</v>
      </c>
      <c r="G28">
        <f>STDEV(E28:E30)</f>
        <v>7.3641615968064525E-2</v>
      </c>
    </row>
    <row r="29" spans="1:7" x14ac:dyDescent="0.25">
      <c r="A29">
        <v>2.5</v>
      </c>
      <c r="B29">
        <v>0.78400000000000003</v>
      </c>
      <c r="C29" t="s">
        <v>1</v>
      </c>
      <c r="D29">
        <v>0.78200000000000003</v>
      </c>
      <c r="E29">
        <f t="shared" si="1"/>
        <v>0.2551020408163267</v>
      </c>
    </row>
    <row r="30" spans="1:7" x14ac:dyDescent="0.25">
      <c r="A30">
        <v>2.5</v>
      </c>
      <c r="B30">
        <v>0.78400000000000003</v>
      </c>
      <c r="C30" t="s">
        <v>2</v>
      </c>
      <c r="D30">
        <v>0.78200000000000003</v>
      </c>
      <c r="E30">
        <f t="shared" si="1"/>
        <v>0.2551020408163267</v>
      </c>
    </row>
    <row r="31" spans="1:7" x14ac:dyDescent="0.25">
      <c r="A31">
        <v>5</v>
      </c>
      <c r="B31">
        <v>0.78400000000000003</v>
      </c>
      <c r="C31" t="s">
        <v>0</v>
      </c>
      <c r="D31">
        <v>0.77200000000000002</v>
      </c>
      <c r="E31">
        <f t="shared" si="1"/>
        <v>1.5306122448979604</v>
      </c>
      <c r="F31">
        <f>AVERAGE(E31:E33)</f>
        <v>1.4880952380952392</v>
      </c>
      <c r="G31">
        <f>STDEV(E31:E33)</f>
        <v>0.19483740199642191</v>
      </c>
    </row>
    <row r="32" spans="1:7" x14ac:dyDescent="0.25">
      <c r="A32">
        <v>5</v>
      </c>
      <c r="B32">
        <v>0.78400000000000003</v>
      </c>
      <c r="C32" t="s">
        <v>1</v>
      </c>
      <c r="D32">
        <v>0.77400000000000002</v>
      </c>
      <c r="E32">
        <f t="shared" si="1"/>
        <v>1.2755102040816337</v>
      </c>
    </row>
    <row r="33" spans="1:45" x14ac:dyDescent="0.25">
      <c r="A33">
        <v>5</v>
      </c>
      <c r="B33">
        <v>0.78400000000000003</v>
      </c>
      <c r="C33" t="s">
        <v>2</v>
      </c>
      <c r="D33">
        <v>0.77100000000000002</v>
      </c>
      <c r="E33">
        <f t="shared" si="1"/>
        <v>1.658163265306124</v>
      </c>
      <c r="I33" s="2" t="s">
        <v>11</v>
      </c>
    </row>
    <row r="34" spans="1:45" x14ac:dyDescent="0.25">
      <c r="A34">
        <v>10</v>
      </c>
      <c r="B34">
        <v>0.78400000000000003</v>
      </c>
      <c r="C34" t="s">
        <v>0</v>
      </c>
      <c r="D34">
        <v>0.75600000000000001</v>
      </c>
      <c r="E34">
        <f t="shared" si="1"/>
        <v>3.5714285714285747</v>
      </c>
      <c r="F34">
        <f>AVERAGE(E34:E36)</f>
        <v>3.6139455782312955</v>
      </c>
      <c r="G34">
        <f>STDEV(E34:E36)</f>
        <v>0.3209963620438247</v>
      </c>
      <c r="I34" t="s">
        <v>10</v>
      </c>
      <c r="J34" t="s">
        <v>9</v>
      </c>
      <c r="U34" t="s">
        <v>10</v>
      </c>
      <c r="V34" t="s">
        <v>53</v>
      </c>
      <c r="AF34" t="s">
        <v>10</v>
      </c>
      <c r="AG34" t="s">
        <v>54</v>
      </c>
      <c r="AR34" t="s">
        <v>55</v>
      </c>
      <c r="AS34" t="s">
        <v>3</v>
      </c>
    </row>
    <row r="35" spans="1:45" x14ac:dyDescent="0.25">
      <c r="A35">
        <v>10</v>
      </c>
      <c r="B35">
        <v>0.78400000000000003</v>
      </c>
      <c r="C35" t="s">
        <v>1</v>
      </c>
      <c r="D35">
        <v>0.75800000000000001</v>
      </c>
      <c r="E35">
        <f t="shared" si="1"/>
        <v>3.316326530612248</v>
      </c>
      <c r="I35">
        <v>2.5</v>
      </c>
      <c r="J35">
        <v>0.21</v>
      </c>
      <c r="U35">
        <v>2.5</v>
      </c>
      <c r="V35">
        <v>0.13</v>
      </c>
      <c r="AF35">
        <v>2.5</v>
      </c>
      <c r="AG35">
        <v>0.28000000000000003</v>
      </c>
      <c r="AR35">
        <f>(50-2.9997)/0.2371</f>
        <v>198.22986081822017</v>
      </c>
      <c r="AS35">
        <f>STDEV(AR35:AR37)</f>
        <v>1.7776290438530302</v>
      </c>
    </row>
    <row r="36" spans="1:45" x14ac:dyDescent="0.25">
      <c r="A36">
        <v>10</v>
      </c>
      <c r="B36">
        <v>0.78400000000000003</v>
      </c>
      <c r="C36" t="s">
        <v>2</v>
      </c>
      <c r="D36">
        <v>0.753</v>
      </c>
      <c r="E36">
        <f t="shared" si="1"/>
        <v>3.954081632653065</v>
      </c>
      <c r="I36">
        <v>5</v>
      </c>
      <c r="J36">
        <v>1.48</v>
      </c>
      <c r="U36">
        <v>5</v>
      </c>
      <c r="V36">
        <v>1.29</v>
      </c>
      <c r="AF36">
        <v>5</v>
      </c>
      <c r="AG36">
        <v>1.68</v>
      </c>
      <c r="AR36">
        <f>(50-2.7945)/0.236</f>
        <v>200.02330508474577</v>
      </c>
    </row>
    <row r="37" spans="1:45" x14ac:dyDescent="0.25">
      <c r="A37">
        <v>20</v>
      </c>
      <c r="B37">
        <v>0.78400000000000003</v>
      </c>
      <c r="C37" t="s">
        <v>0</v>
      </c>
      <c r="D37">
        <v>0.72699999999999998</v>
      </c>
      <c r="E37">
        <f t="shared" si="1"/>
        <v>7.270408163265313</v>
      </c>
      <c r="F37">
        <f>AVERAGE(E37:E39)</f>
        <v>7.4829931972789181</v>
      </c>
      <c r="G37">
        <f>STDEV(E37:E39)</f>
        <v>0.19483740199642177</v>
      </c>
      <c r="I37">
        <v>10</v>
      </c>
      <c r="J37">
        <v>3.61</v>
      </c>
      <c r="U37">
        <v>10</v>
      </c>
      <c r="V37">
        <v>3.29</v>
      </c>
      <c r="AF37">
        <v>10</v>
      </c>
      <c r="AG37">
        <v>3.93</v>
      </c>
      <c r="AR37">
        <f>(50-3.2013)/0.2382</f>
        <v>196.46809403862301</v>
      </c>
    </row>
    <row r="38" spans="1:45" x14ac:dyDescent="0.25">
      <c r="A38">
        <v>20</v>
      </c>
      <c r="B38">
        <v>0.78400000000000003</v>
      </c>
      <c r="C38" t="s">
        <v>1</v>
      </c>
      <c r="D38">
        <v>0.72399999999999998</v>
      </c>
      <c r="E38">
        <f t="shared" si="1"/>
        <v>7.6530612244898029</v>
      </c>
      <c r="I38">
        <v>20</v>
      </c>
      <c r="J38">
        <v>7.48</v>
      </c>
      <c r="U38">
        <v>20</v>
      </c>
      <c r="V38">
        <v>7.28</v>
      </c>
      <c r="AF38">
        <v>20</v>
      </c>
      <c r="AG38">
        <v>7.67</v>
      </c>
    </row>
    <row r="39" spans="1:45" x14ac:dyDescent="0.25">
      <c r="A39">
        <v>20</v>
      </c>
      <c r="B39">
        <v>0.78400000000000003</v>
      </c>
      <c r="C39" t="s">
        <v>2</v>
      </c>
      <c r="D39">
        <v>0.72499999999999998</v>
      </c>
      <c r="E39">
        <f t="shared" si="1"/>
        <v>7.5255102040816393</v>
      </c>
      <c r="I39">
        <v>40</v>
      </c>
      <c r="J39">
        <v>19.09</v>
      </c>
      <c r="U39">
        <v>40</v>
      </c>
      <c r="V39">
        <v>18.82</v>
      </c>
      <c r="AF39">
        <v>40</v>
      </c>
      <c r="AG39">
        <v>19.350000000000001</v>
      </c>
    </row>
    <row r="40" spans="1:45" x14ac:dyDescent="0.25">
      <c r="A40">
        <v>40</v>
      </c>
      <c r="B40">
        <v>0.78400000000000003</v>
      </c>
      <c r="C40" t="s">
        <v>0</v>
      </c>
      <c r="D40">
        <v>0.63600000000000001</v>
      </c>
      <c r="E40">
        <f t="shared" si="1"/>
        <v>18.877551020408166</v>
      </c>
      <c r="F40">
        <f>AVERAGE(E40:E42)</f>
        <v>19.090136054421773</v>
      </c>
      <c r="G40">
        <f>STDEV(E40:E42)</f>
        <v>0.26551862238088308</v>
      </c>
      <c r="I40">
        <v>80</v>
      </c>
      <c r="J40">
        <v>27.72</v>
      </c>
      <c r="U40">
        <v>80</v>
      </c>
      <c r="V40">
        <v>27.31</v>
      </c>
      <c r="AF40">
        <v>80</v>
      </c>
      <c r="AG40">
        <v>28.13</v>
      </c>
    </row>
    <row r="41" spans="1:45" x14ac:dyDescent="0.25">
      <c r="A41">
        <v>40</v>
      </c>
      <c r="B41">
        <v>0.78400000000000003</v>
      </c>
      <c r="C41" t="s">
        <v>1</v>
      </c>
      <c r="D41">
        <v>0.63500000000000001</v>
      </c>
      <c r="E41">
        <f t="shared" si="1"/>
        <v>19.005102040816329</v>
      </c>
      <c r="I41">
        <v>160</v>
      </c>
      <c r="J41">
        <v>36.69</v>
      </c>
      <c r="U41">
        <v>160</v>
      </c>
      <c r="V41">
        <v>36.369999999999997</v>
      </c>
      <c r="AF41">
        <v>160</v>
      </c>
      <c r="AG41">
        <v>37.01</v>
      </c>
    </row>
    <row r="42" spans="1:45" x14ac:dyDescent="0.25">
      <c r="A42">
        <v>40</v>
      </c>
      <c r="B42">
        <v>0.78400000000000003</v>
      </c>
      <c r="C42" t="s">
        <v>2</v>
      </c>
      <c r="D42">
        <v>0.63200000000000001</v>
      </c>
      <c r="E42">
        <f t="shared" si="1"/>
        <v>19.387755102040817</v>
      </c>
    </row>
    <row r="43" spans="1:45" x14ac:dyDescent="0.25">
      <c r="A43">
        <v>80</v>
      </c>
      <c r="B43">
        <v>0.78400000000000003</v>
      </c>
      <c r="C43" t="s">
        <v>0</v>
      </c>
      <c r="D43">
        <v>0.56899999999999995</v>
      </c>
      <c r="E43">
        <f t="shared" si="1"/>
        <v>27.423469387755112</v>
      </c>
      <c r="F43">
        <f>AVERAGE(E43:E45)</f>
        <v>27.721088435374156</v>
      </c>
      <c r="G43">
        <f>STDEV(E43:E45)</f>
        <v>0.41001916500820201</v>
      </c>
    </row>
    <row r="44" spans="1:45" x14ac:dyDescent="0.25">
      <c r="A44">
        <v>80</v>
      </c>
      <c r="B44">
        <v>0.78400000000000003</v>
      </c>
      <c r="C44" t="s">
        <v>1</v>
      </c>
      <c r="D44">
        <v>0.56299999999999994</v>
      </c>
      <c r="E44">
        <f t="shared" si="1"/>
        <v>28.188775510204088</v>
      </c>
      <c r="I44" t="s">
        <v>17</v>
      </c>
      <c r="J44">
        <f>(50-2.9997)/0.2371</f>
        <v>198.22986081822017</v>
      </c>
      <c r="U44" t="s">
        <v>17</v>
      </c>
      <c r="V44">
        <f>(50-2.7945)/0.236</f>
        <v>200.02330508474577</v>
      </c>
      <c r="AF44" t="s">
        <v>17</v>
      </c>
      <c r="AG44">
        <f>(50-3.2013)/0.2382</f>
        <v>196.46809403862301</v>
      </c>
    </row>
    <row r="45" spans="1:45" x14ac:dyDescent="0.25">
      <c r="A45">
        <v>80</v>
      </c>
      <c r="B45">
        <v>0.78400000000000003</v>
      </c>
      <c r="C45" t="s">
        <v>2</v>
      </c>
      <c r="D45">
        <v>0.56799999999999995</v>
      </c>
      <c r="E45">
        <f t="shared" si="1"/>
        <v>27.551020408163275</v>
      </c>
    </row>
    <row r="46" spans="1:45" x14ac:dyDescent="0.25">
      <c r="A46">
        <v>160</v>
      </c>
      <c r="B46">
        <v>0.78400000000000003</v>
      </c>
      <c r="C46" t="s">
        <v>0</v>
      </c>
      <c r="D46">
        <v>0.499</v>
      </c>
      <c r="E46">
        <f t="shared" si="1"/>
        <v>36.352040816326529</v>
      </c>
      <c r="F46">
        <f>AVERAGE(E46:E48)</f>
        <v>36.692176870748305</v>
      </c>
      <c r="G46">
        <f>STDEV(E46:E48)</f>
        <v>0.3209963620438267</v>
      </c>
    </row>
    <row r="47" spans="1:45" x14ac:dyDescent="0.25">
      <c r="A47">
        <v>160</v>
      </c>
      <c r="B47">
        <v>0.78400000000000003</v>
      </c>
      <c r="C47" t="s">
        <v>1</v>
      </c>
      <c r="D47">
        <v>0.49399999999999999</v>
      </c>
      <c r="E47">
        <f t="shared" si="1"/>
        <v>36.989795918367349</v>
      </c>
    </row>
    <row r="48" spans="1:45" x14ac:dyDescent="0.25">
      <c r="A48">
        <v>160</v>
      </c>
      <c r="B48">
        <v>0.78400000000000003</v>
      </c>
      <c r="C48" t="s">
        <v>2</v>
      </c>
      <c r="D48">
        <v>0.496</v>
      </c>
      <c r="E48">
        <f t="shared" si="1"/>
        <v>36.734693877551024</v>
      </c>
    </row>
    <row r="53" spans="1:45" x14ac:dyDescent="0.25">
      <c r="A53" t="s">
        <v>5</v>
      </c>
      <c r="B53" t="s">
        <v>7</v>
      </c>
      <c r="C53" t="s">
        <v>6</v>
      </c>
      <c r="D53" t="s">
        <v>8</v>
      </c>
      <c r="E53" t="s">
        <v>4</v>
      </c>
      <c r="F53" t="s">
        <v>9</v>
      </c>
      <c r="G53" t="s">
        <v>3</v>
      </c>
    </row>
    <row r="54" spans="1:45" x14ac:dyDescent="0.25">
      <c r="A54">
        <v>2.5</v>
      </c>
      <c r="B54">
        <v>0.78400000000000003</v>
      </c>
      <c r="C54" t="s">
        <v>0</v>
      </c>
      <c r="D54">
        <v>0.77700000000000002</v>
      </c>
      <c r="E54">
        <f t="shared" ref="E54:E74" si="2">(((B54-D54)/B54)*100)</f>
        <v>0.89285714285714368</v>
      </c>
      <c r="F54" s="5">
        <f>AVERAGE(E54:E56)</f>
        <v>0.63775510204081687</v>
      </c>
      <c r="G54" s="5">
        <f>STDEV(E54:E56)</f>
        <v>0.33746827947252456</v>
      </c>
    </row>
    <row r="55" spans="1:45" x14ac:dyDescent="0.25">
      <c r="A55">
        <v>2.5</v>
      </c>
      <c r="B55">
        <v>0.78400000000000003</v>
      </c>
      <c r="C55" t="s">
        <v>1</v>
      </c>
      <c r="D55">
        <v>0.77800000000000002</v>
      </c>
      <c r="E55">
        <f t="shared" si="2"/>
        <v>0.76530612244898022</v>
      </c>
    </row>
    <row r="56" spans="1:45" x14ac:dyDescent="0.25">
      <c r="A56">
        <v>2.5</v>
      </c>
      <c r="B56">
        <v>0.78400000000000003</v>
      </c>
      <c r="C56" t="s">
        <v>2</v>
      </c>
      <c r="D56">
        <v>0.78200000000000003</v>
      </c>
      <c r="E56">
        <f t="shared" si="2"/>
        <v>0.2551020408163267</v>
      </c>
    </row>
    <row r="57" spans="1:45" x14ac:dyDescent="0.25">
      <c r="A57">
        <v>5</v>
      </c>
      <c r="B57">
        <v>0.78400000000000003</v>
      </c>
      <c r="C57" t="s">
        <v>0</v>
      </c>
      <c r="D57">
        <v>0.754</v>
      </c>
      <c r="E57">
        <f t="shared" si="2"/>
        <v>3.8265306122449014</v>
      </c>
      <c r="F57">
        <f>AVERAGE(E57:E59)</f>
        <v>3.6989795918367379</v>
      </c>
      <c r="G57">
        <f>STDEV(E57:E59)</f>
        <v>0.33746827947252461</v>
      </c>
    </row>
    <row r="58" spans="1:45" x14ac:dyDescent="0.25">
      <c r="A58">
        <v>5</v>
      </c>
      <c r="B58">
        <v>0.78400000000000003</v>
      </c>
      <c r="C58" t="s">
        <v>1</v>
      </c>
      <c r="D58">
        <v>0.75800000000000001</v>
      </c>
      <c r="E58">
        <f t="shared" si="2"/>
        <v>3.316326530612248</v>
      </c>
    </row>
    <row r="59" spans="1:45" x14ac:dyDescent="0.25">
      <c r="A59">
        <v>5</v>
      </c>
      <c r="B59">
        <v>0.78400000000000003</v>
      </c>
      <c r="C59" t="s">
        <v>2</v>
      </c>
      <c r="D59">
        <v>0.753</v>
      </c>
      <c r="E59">
        <f t="shared" si="2"/>
        <v>3.954081632653065</v>
      </c>
      <c r="I59" s="1" t="s">
        <v>15</v>
      </c>
    </row>
    <row r="60" spans="1:45" x14ac:dyDescent="0.25">
      <c r="A60">
        <v>10</v>
      </c>
      <c r="B60">
        <v>0.78400000000000003</v>
      </c>
      <c r="C60" t="s">
        <v>0</v>
      </c>
      <c r="D60">
        <v>0.71499999999999997</v>
      </c>
      <c r="E60">
        <f t="shared" si="2"/>
        <v>8.8010204081632715</v>
      </c>
      <c r="F60">
        <f>AVERAGE(E60:E62)</f>
        <v>8.7159863945578291</v>
      </c>
      <c r="G60">
        <f>STDEV(E60:E62)</f>
        <v>0.26551862238088481</v>
      </c>
      <c r="I60" t="s">
        <v>10</v>
      </c>
      <c r="J60" t="s">
        <v>9</v>
      </c>
      <c r="U60" t="s">
        <v>10</v>
      </c>
      <c r="V60" t="s">
        <v>53</v>
      </c>
      <c r="AF60" t="s">
        <v>10</v>
      </c>
      <c r="AG60" t="s">
        <v>54</v>
      </c>
    </row>
    <row r="61" spans="1:45" x14ac:dyDescent="0.25">
      <c r="A61">
        <v>10</v>
      </c>
      <c r="B61">
        <v>0.78400000000000003</v>
      </c>
      <c r="C61" t="s">
        <v>1</v>
      </c>
      <c r="D61">
        <v>0.71399999999999997</v>
      </c>
      <c r="E61">
        <f t="shared" si="2"/>
        <v>8.9285714285714359</v>
      </c>
      <c r="I61">
        <v>2.5</v>
      </c>
      <c r="J61">
        <v>0.63</v>
      </c>
      <c r="U61">
        <v>2.5</v>
      </c>
      <c r="V61">
        <v>0.3</v>
      </c>
      <c r="AF61">
        <v>2.5</v>
      </c>
      <c r="AG61">
        <v>0.97</v>
      </c>
      <c r="AR61" t="s">
        <v>55</v>
      </c>
      <c r="AS61" t="s">
        <v>3</v>
      </c>
    </row>
    <row r="62" spans="1:45" x14ac:dyDescent="0.25">
      <c r="A62">
        <v>10</v>
      </c>
      <c r="B62">
        <v>0.78400000000000003</v>
      </c>
      <c r="C62" t="s">
        <v>2</v>
      </c>
      <c r="D62">
        <v>0.71799999999999997</v>
      </c>
      <c r="E62">
        <f t="shared" si="2"/>
        <v>8.4183673469387816</v>
      </c>
      <c r="I62">
        <v>5</v>
      </c>
      <c r="J62">
        <v>3.69</v>
      </c>
      <c r="U62">
        <v>5</v>
      </c>
      <c r="V62">
        <v>3.36</v>
      </c>
      <c r="AF62">
        <v>5</v>
      </c>
      <c r="AG62">
        <v>4.03</v>
      </c>
      <c r="AR62">
        <f>(50-7.2729)/0.1722</f>
        <v>248.12485481997678</v>
      </c>
      <c r="AS62">
        <f>STDEV(AR62:AR64)</f>
        <v>2.5096450017221494</v>
      </c>
    </row>
    <row r="63" spans="1:45" x14ac:dyDescent="0.25">
      <c r="A63">
        <v>20</v>
      </c>
      <c r="B63">
        <v>0.78400000000000003</v>
      </c>
      <c r="C63" t="s">
        <v>0</v>
      </c>
      <c r="D63">
        <v>0.66800000000000004</v>
      </c>
      <c r="E63">
        <f t="shared" si="2"/>
        <v>14.795918367346939</v>
      </c>
      <c r="F63">
        <f>AVERAGE(E63:E65)</f>
        <v>15.051020408163263</v>
      </c>
      <c r="G63">
        <f>STDEV(E63:E65)</f>
        <v>0.25510204081632537</v>
      </c>
      <c r="I63">
        <v>10</v>
      </c>
      <c r="J63">
        <v>8.7100000000000009</v>
      </c>
      <c r="U63">
        <v>10</v>
      </c>
      <c r="V63">
        <v>8.4499999999999993</v>
      </c>
      <c r="AF63">
        <v>10</v>
      </c>
      <c r="AG63">
        <v>8.98</v>
      </c>
      <c r="AR63">
        <f>(50-6.9548)/0.1717</f>
        <v>250.70005824111826</v>
      </c>
    </row>
    <row r="64" spans="1:45" x14ac:dyDescent="0.25">
      <c r="A64">
        <v>20</v>
      </c>
      <c r="B64">
        <v>0.78400000000000003</v>
      </c>
      <c r="C64" t="s">
        <v>1</v>
      </c>
      <c r="D64">
        <v>0.66600000000000004</v>
      </c>
      <c r="E64">
        <f t="shared" si="2"/>
        <v>15.051020408163263</v>
      </c>
      <c r="I64">
        <v>20</v>
      </c>
      <c r="J64">
        <v>15.05</v>
      </c>
      <c r="U64">
        <v>20</v>
      </c>
      <c r="V64">
        <v>14.79</v>
      </c>
      <c r="AF64">
        <v>20</v>
      </c>
      <c r="AG64">
        <v>15.3</v>
      </c>
      <c r="AR64">
        <f>(50-7.5954)/0.1726</f>
        <v>245.68134414831982</v>
      </c>
    </row>
    <row r="65" spans="1:33" x14ac:dyDescent="0.25">
      <c r="A65">
        <v>20</v>
      </c>
      <c r="B65">
        <v>0.78400000000000003</v>
      </c>
      <c r="C65" t="s">
        <v>2</v>
      </c>
      <c r="D65">
        <v>0.66400000000000003</v>
      </c>
      <c r="E65">
        <f t="shared" si="2"/>
        <v>15.30612244897959</v>
      </c>
      <c r="I65">
        <v>40</v>
      </c>
      <c r="J65">
        <v>21.51</v>
      </c>
      <c r="U65">
        <v>40</v>
      </c>
      <c r="V65">
        <v>21.03</v>
      </c>
      <c r="AF65">
        <v>40</v>
      </c>
      <c r="AG65">
        <v>21.99</v>
      </c>
    </row>
    <row r="66" spans="1:33" x14ac:dyDescent="0.25">
      <c r="A66">
        <v>40</v>
      </c>
      <c r="B66">
        <v>0.78400000000000003</v>
      </c>
      <c r="C66" t="s">
        <v>0</v>
      </c>
      <c r="D66">
        <v>0.61799999999999999</v>
      </c>
      <c r="E66">
        <f t="shared" si="2"/>
        <v>21.173469387755105</v>
      </c>
      <c r="F66">
        <f>AVERAGE(E66:E68)</f>
        <v>21.513605442176871</v>
      </c>
      <c r="G66">
        <f>STDEV(E66:E68)</f>
        <v>0.48290036954083942</v>
      </c>
      <c r="I66">
        <v>80</v>
      </c>
      <c r="J66">
        <v>25.51</v>
      </c>
      <c r="U66">
        <v>80</v>
      </c>
      <c r="V66">
        <v>25.17</v>
      </c>
      <c r="AF66">
        <v>80</v>
      </c>
      <c r="AG66">
        <v>25.84</v>
      </c>
    </row>
    <row r="67" spans="1:33" x14ac:dyDescent="0.25">
      <c r="A67">
        <v>40</v>
      </c>
      <c r="B67">
        <v>0.78400000000000003</v>
      </c>
      <c r="C67" t="s">
        <v>1</v>
      </c>
      <c r="D67">
        <v>0.61699999999999999</v>
      </c>
      <c r="E67">
        <f t="shared" si="2"/>
        <v>21.301020408163268</v>
      </c>
      <c r="I67">
        <v>160</v>
      </c>
      <c r="J67">
        <v>30.48</v>
      </c>
      <c r="U67">
        <v>160</v>
      </c>
      <c r="V67">
        <v>30.1</v>
      </c>
      <c r="AF67">
        <v>160</v>
      </c>
      <c r="AG67">
        <v>30.86</v>
      </c>
    </row>
    <row r="68" spans="1:33" x14ac:dyDescent="0.25">
      <c r="A68">
        <v>40</v>
      </c>
      <c r="B68">
        <v>0.78400000000000003</v>
      </c>
      <c r="C68" t="s">
        <v>2</v>
      </c>
      <c r="D68">
        <v>0.61099999999999999</v>
      </c>
      <c r="E68">
        <f t="shared" si="2"/>
        <v>22.066326530612248</v>
      </c>
    </row>
    <row r="69" spans="1:33" x14ac:dyDescent="0.25">
      <c r="A69">
        <v>80</v>
      </c>
      <c r="B69">
        <v>0.78400000000000003</v>
      </c>
      <c r="C69" t="s">
        <v>0</v>
      </c>
      <c r="D69">
        <v>0.58299999999999996</v>
      </c>
      <c r="E69">
        <f t="shared" si="2"/>
        <v>25.637755102040821</v>
      </c>
      <c r="F69">
        <f>AVERAGE(E69:E71)</f>
        <v>25.510204081632661</v>
      </c>
      <c r="G69">
        <f>STDEV(E69:E71)</f>
        <v>0.33746827947252345</v>
      </c>
    </row>
    <row r="70" spans="1:33" x14ac:dyDescent="0.25">
      <c r="A70">
        <v>80</v>
      </c>
      <c r="B70">
        <v>0.78400000000000003</v>
      </c>
      <c r="C70" t="s">
        <v>1</v>
      </c>
      <c r="D70">
        <v>0.58699999999999997</v>
      </c>
      <c r="E70">
        <f t="shared" si="2"/>
        <v>25.127551020408173</v>
      </c>
      <c r="I70" t="s">
        <v>17</v>
      </c>
      <c r="J70">
        <f>(50-7.2729)/0.1722</f>
        <v>248.12485481997678</v>
      </c>
      <c r="U70" t="s">
        <v>17</v>
      </c>
      <c r="V70">
        <f>(50-6.9548)/0.1717</f>
        <v>250.70005824111826</v>
      </c>
      <c r="AF70" t="s">
        <v>17</v>
      </c>
      <c r="AG70">
        <f>(50-7.5954)/0.1726</f>
        <v>245.68134414831982</v>
      </c>
    </row>
    <row r="71" spans="1:33" x14ac:dyDescent="0.25">
      <c r="A71">
        <v>80</v>
      </c>
      <c r="B71">
        <v>0.78400000000000003</v>
      </c>
      <c r="C71" t="s">
        <v>2</v>
      </c>
      <c r="D71">
        <v>0.58199999999999996</v>
      </c>
      <c r="E71">
        <f t="shared" si="2"/>
        <v>25.76530612244899</v>
      </c>
    </row>
    <row r="72" spans="1:33" x14ac:dyDescent="0.25">
      <c r="A72">
        <v>160</v>
      </c>
      <c r="B72">
        <v>0.78400000000000003</v>
      </c>
      <c r="C72" t="s">
        <v>0</v>
      </c>
      <c r="D72">
        <v>0.54500000000000004</v>
      </c>
      <c r="E72">
        <f t="shared" si="2"/>
        <v>30.484693877551017</v>
      </c>
      <c r="F72">
        <f>AVERAGE(E72:E74)</f>
        <v>30.484693877551013</v>
      </c>
      <c r="G72">
        <f>STDEV(E72:E74)</f>
        <v>0.38265306122449161</v>
      </c>
    </row>
    <row r="73" spans="1:33" x14ac:dyDescent="0.25">
      <c r="A73">
        <v>160</v>
      </c>
      <c r="B73">
        <v>0.78400000000000003</v>
      </c>
      <c r="C73" t="s">
        <v>1</v>
      </c>
      <c r="D73">
        <v>0.54200000000000004</v>
      </c>
      <c r="E73">
        <f t="shared" si="2"/>
        <v>30.867346938775508</v>
      </c>
    </row>
    <row r="74" spans="1:33" x14ac:dyDescent="0.25">
      <c r="A74">
        <v>160</v>
      </c>
      <c r="B74">
        <v>0.78400000000000003</v>
      </c>
      <c r="C74" t="s">
        <v>2</v>
      </c>
      <c r="D74">
        <v>0.54800000000000004</v>
      </c>
      <c r="E74">
        <f t="shared" si="2"/>
        <v>30.102040816326525</v>
      </c>
    </row>
    <row r="81" spans="1:45" x14ac:dyDescent="0.25">
      <c r="A81" t="s">
        <v>5</v>
      </c>
      <c r="B81" t="s">
        <v>7</v>
      </c>
      <c r="C81" t="s">
        <v>6</v>
      </c>
      <c r="D81" t="s">
        <v>8</v>
      </c>
      <c r="E81" t="s">
        <v>4</v>
      </c>
      <c r="F81" t="s">
        <v>9</v>
      </c>
      <c r="G81" t="s">
        <v>3</v>
      </c>
    </row>
    <row r="82" spans="1:45" x14ac:dyDescent="0.25">
      <c r="A82">
        <v>2.5</v>
      </c>
      <c r="B82">
        <v>0.78400000000000003</v>
      </c>
      <c r="C82" t="s">
        <v>0</v>
      </c>
      <c r="D82">
        <v>0.77500000000000002</v>
      </c>
      <c r="E82">
        <f t="shared" ref="E82:E102" si="3">(((B82-D82)/B82)*100)</f>
        <v>1.1479591836734704</v>
      </c>
      <c r="F82">
        <f>AVERAGE(E82:E84)</f>
        <v>1.062925170068028</v>
      </c>
      <c r="G82">
        <f>STDEV(E82:E84)</f>
        <v>0.26551862238088481</v>
      </c>
    </row>
    <row r="83" spans="1:45" x14ac:dyDescent="0.25">
      <c r="A83">
        <v>2.5</v>
      </c>
      <c r="B83">
        <v>0.78400000000000003</v>
      </c>
      <c r="C83" t="s">
        <v>1</v>
      </c>
      <c r="D83">
        <v>0.77800000000000002</v>
      </c>
      <c r="E83">
        <f t="shared" si="3"/>
        <v>0.76530612244898022</v>
      </c>
    </row>
    <row r="84" spans="1:45" x14ac:dyDescent="0.25">
      <c r="A84">
        <v>2.5</v>
      </c>
      <c r="B84">
        <v>0.78400000000000003</v>
      </c>
      <c r="C84" t="s">
        <v>2</v>
      </c>
      <c r="D84">
        <v>0.77400000000000002</v>
      </c>
      <c r="E84">
        <f t="shared" si="3"/>
        <v>1.2755102040816337</v>
      </c>
    </row>
    <row r="85" spans="1:45" x14ac:dyDescent="0.25">
      <c r="A85">
        <v>5</v>
      </c>
      <c r="B85">
        <v>0.78400000000000003</v>
      </c>
      <c r="C85" t="s">
        <v>0</v>
      </c>
      <c r="D85">
        <v>0.75800000000000001</v>
      </c>
      <c r="E85">
        <f t="shared" si="3"/>
        <v>3.316326530612248</v>
      </c>
      <c r="F85">
        <f>AVERAGE(E85:E87)</f>
        <v>3.4438775510204116</v>
      </c>
      <c r="G85">
        <f>STDEV(E85:E87)</f>
        <v>0.12755102040816335</v>
      </c>
    </row>
    <row r="86" spans="1:45" x14ac:dyDescent="0.25">
      <c r="A86">
        <v>5</v>
      </c>
      <c r="B86">
        <v>0.78400000000000003</v>
      </c>
      <c r="C86" t="s">
        <v>1</v>
      </c>
      <c r="D86">
        <v>0.75600000000000001</v>
      </c>
      <c r="E86">
        <f t="shared" si="3"/>
        <v>3.5714285714285747</v>
      </c>
    </row>
    <row r="87" spans="1:45" x14ac:dyDescent="0.25">
      <c r="A87">
        <v>5</v>
      </c>
      <c r="B87">
        <v>0.78400000000000003</v>
      </c>
      <c r="C87" t="s">
        <v>2</v>
      </c>
      <c r="D87">
        <v>0.75700000000000001</v>
      </c>
      <c r="E87">
        <f t="shared" si="3"/>
        <v>3.4438775510204112</v>
      </c>
      <c r="I87" s="2" t="s">
        <v>14</v>
      </c>
    </row>
    <row r="88" spans="1:45" x14ac:dyDescent="0.25">
      <c r="A88">
        <v>10</v>
      </c>
      <c r="B88">
        <v>0.78400000000000003</v>
      </c>
      <c r="C88" t="s">
        <v>0</v>
      </c>
      <c r="D88">
        <v>0.71599999999999997</v>
      </c>
      <c r="E88">
        <f t="shared" si="3"/>
        <v>8.6734693877551088</v>
      </c>
      <c r="F88">
        <f>AVERAGE(E88:E90)</f>
        <v>8.5884353741496664</v>
      </c>
      <c r="G88">
        <f>STDEV(E88:E90)</f>
        <v>0.26551862238088403</v>
      </c>
      <c r="I88" t="s">
        <v>10</v>
      </c>
      <c r="J88" t="s">
        <v>9</v>
      </c>
      <c r="U88" t="s">
        <v>10</v>
      </c>
      <c r="V88" t="s">
        <v>53</v>
      </c>
      <c r="AF88" t="s">
        <v>10</v>
      </c>
      <c r="AG88" t="s">
        <v>54</v>
      </c>
    </row>
    <row r="89" spans="1:45" x14ac:dyDescent="0.25">
      <c r="A89">
        <v>10</v>
      </c>
      <c r="B89">
        <v>0.78400000000000003</v>
      </c>
      <c r="C89" t="s">
        <v>1</v>
      </c>
      <c r="D89">
        <v>0.71499999999999997</v>
      </c>
      <c r="E89">
        <f t="shared" si="3"/>
        <v>8.8010204081632715</v>
      </c>
      <c r="I89">
        <v>2.5</v>
      </c>
      <c r="J89">
        <v>1.06</v>
      </c>
      <c r="U89">
        <v>2.5</v>
      </c>
      <c r="V89">
        <v>0.79</v>
      </c>
      <c r="AF89">
        <v>2.5</v>
      </c>
      <c r="AG89">
        <v>1.32</v>
      </c>
      <c r="AR89" t="s">
        <v>55</v>
      </c>
      <c r="AS89" t="s">
        <v>3</v>
      </c>
    </row>
    <row r="90" spans="1:45" x14ac:dyDescent="0.25">
      <c r="A90">
        <v>10</v>
      </c>
      <c r="B90">
        <v>0.78400000000000003</v>
      </c>
      <c r="C90" t="s">
        <v>2</v>
      </c>
      <c r="D90">
        <v>0.71899999999999997</v>
      </c>
      <c r="E90">
        <f t="shared" si="3"/>
        <v>8.290816326530619</v>
      </c>
      <c r="I90">
        <v>5</v>
      </c>
      <c r="J90">
        <v>3.44</v>
      </c>
      <c r="U90">
        <v>5</v>
      </c>
      <c r="V90">
        <v>3.31</v>
      </c>
      <c r="AF90">
        <v>5</v>
      </c>
      <c r="AG90">
        <v>3.57</v>
      </c>
      <c r="AR90">
        <f>(50-6.4848)/0.2899</f>
        <v>150.10417385305277</v>
      </c>
      <c r="AS90">
        <f>STDEV(AR90:AR92)</f>
        <v>1.0238831059114828</v>
      </c>
    </row>
    <row r="91" spans="1:45" x14ac:dyDescent="0.25">
      <c r="A91">
        <v>20</v>
      </c>
      <c r="B91">
        <v>0.78400000000000003</v>
      </c>
      <c r="C91" t="s">
        <v>0</v>
      </c>
      <c r="D91">
        <v>0.66900000000000004</v>
      </c>
      <c r="E91">
        <f t="shared" si="3"/>
        <v>14.668367346938775</v>
      </c>
      <c r="F91">
        <f>AVERAGE(E91:E93)</f>
        <v>15.008503401360542</v>
      </c>
      <c r="G91">
        <f>STDEV(E91:E93)</f>
        <v>0.32099636204382376</v>
      </c>
      <c r="I91">
        <v>10</v>
      </c>
      <c r="J91">
        <v>8.58</v>
      </c>
      <c r="U91">
        <v>10</v>
      </c>
      <c r="V91">
        <v>8.32</v>
      </c>
      <c r="AF91">
        <v>10</v>
      </c>
      <c r="AG91">
        <v>8.85</v>
      </c>
      <c r="AR91">
        <f>(50-6.225)/0.2896</f>
        <v>151.15676795580109</v>
      </c>
    </row>
    <row r="92" spans="1:45" x14ac:dyDescent="0.25">
      <c r="A92">
        <v>20</v>
      </c>
      <c r="B92">
        <v>0.78400000000000003</v>
      </c>
      <c r="C92" t="s">
        <v>1</v>
      </c>
      <c r="D92">
        <v>0.66600000000000004</v>
      </c>
      <c r="E92">
        <f t="shared" si="3"/>
        <v>15.051020408163263</v>
      </c>
      <c r="I92">
        <v>20</v>
      </c>
      <c r="J92">
        <v>15</v>
      </c>
      <c r="U92">
        <v>20</v>
      </c>
      <c r="V92">
        <v>14.68</v>
      </c>
      <c r="AF92">
        <v>20</v>
      </c>
      <c r="AG92">
        <v>15.32</v>
      </c>
      <c r="AR92">
        <f>(50-6.7434)/0.2901</f>
        <v>149.10927266459839</v>
      </c>
    </row>
    <row r="93" spans="1:45" x14ac:dyDescent="0.25">
      <c r="A93">
        <v>20</v>
      </c>
      <c r="B93">
        <v>0.78400000000000003</v>
      </c>
      <c r="C93" t="s">
        <v>2</v>
      </c>
      <c r="D93">
        <v>0.66400000000000003</v>
      </c>
      <c r="E93">
        <f t="shared" si="3"/>
        <v>15.30612244897959</v>
      </c>
      <c r="I93">
        <v>40</v>
      </c>
      <c r="J93">
        <v>26.7</v>
      </c>
      <c r="U93">
        <v>40</v>
      </c>
      <c r="V93">
        <v>26.37</v>
      </c>
      <c r="AF93">
        <v>40</v>
      </c>
      <c r="AG93">
        <v>27.02</v>
      </c>
    </row>
    <row r="94" spans="1:45" x14ac:dyDescent="0.25">
      <c r="A94">
        <v>40</v>
      </c>
      <c r="B94">
        <v>0.78400000000000003</v>
      </c>
      <c r="C94" t="s">
        <v>0</v>
      </c>
      <c r="D94">
        <v>0.57499999999999996</v>
      </c>
      <c r="E94">
        <f t="shared" si="3"/>
        <v>26.658163265306129</v>
      </c>
      <c r="F94">
        <f>AVERAGE(E94:E96)</f>
        <v>26.700680272108851</v>
      </c>
      <c r="G94">
        <f>STDEV(E94:E96)</f>
        <v>0.32099636204382481</v>
      </c>
      <c r="I94">
        <v>80</v>
      </c>
      <c r="J94">
        <v>34.31</v>
      </c>
      <c r="U94">
        <v>80</v>
      </c>
      <c r="V94">
        <v>33.97</v>
      </c>
      <c r="AF94">
        <v>80</v>
      </c>
      <c r="AG94">
        <v>34.64</v>
      </c>
    </row>
    <row r="95" spans="1:45" x14ac:dyDescent="0.25">
      <c r="A95">
        <v>40</v>
      </c>
      <c r="B95">
        <v>0.78400000000000003</v>
      </c>
      <c r="C95" t="s">
        <v>1</v>
      </c>
      <c r="D95">
        <v>0.57699999999999996</v>
      </c>
      <c r="E95">
        <f t="shared" si="3"/>
        <v>26.403061224489804</v>
      </c>
      <c r="I95">
        <v>160</v>
      </c>
      <c r="J95">
        <v>48.34</v>
      </c>
      <c r="U95">
        <v>160</v>
      </c>
      <c r="V95">
        <v>48.08</v>
      </c>
      <c r="AF95">
        <v>160</v>
      </c>
      <c r="AG95">
        <v>48.59</v>
      </c>
    </row>
    <row r="96" spans="1:45" x14ac:dyDescent="0.25">
      <c r="A96">
        <v>40</v>
      </c>
      <c r="B96">
        <v>0.78400000000000003</v>
      </c>
      <c r="C96" t="s">
        <v>2</v>
      </c>
      <c r="D96">
        <v>0.57199999999999995</v>
      </c>
      <c r="E96">
        <f t="shared" si="3"/>
        <v>27.040816326530621</v>
      </c>
    </row>
    <row r="97" spans="1:33" x14ac:dyDescent="0.25">
      <c r="A97">
        <v>80</v>
      </c>
      <c r="B97">
        <v>0.78400000000000003</v>
      </c>
      <c r="C97" t="s">
        <v>0</v>
      </c>
      <c r="D97">
        <v>0.51400000000000001</v>
      </c>
      <c r="E97">
        <f t="shared" si="3"/>
        <v>34.438775510204081</v>
      </c>
      <c r="F97">
        <f>AVERAGE(E97:E99)</f>
        <v>34.311224489795919</v>
      </c>
      <c r="G97">
        <f>STDEV(E97:E99)</f>
        <v>0.33746827947252278</v>
      </c>
    </row>
    <row r="98" spans="1:33" x14ac:dyDescent="0.25">
      <c r="A98">
        <v>80</v>
      </c>
      <c r="B98">
        <v>0.78400000000000003</v>
      </c>
      <c r="C98" t="s">
        <v>1</v>
      </c>
      <c r="D98">
        <v>0.51300000000000001</v>
      </c>
      <c r="E98">
        <f t="shared" si="3"/>
        <v>34.566326530612244</v>
      </c>
      <c r="I98" t="s">
        <v>17</v>
      </c>
      <c r="J98">
        <f>(50-6.4848)/0.2899</f>
        <v>150.10417385305277</v>
      </c>
      <c r="U98" t="s">
        <v>17</v>
      </c>
      <c r="V98">
        <f>(50-6.225)/0.2896</f>
        <v>151.15676795580109</v>
      </c>
      <c r="AF98" t="s">
        <v>17</v>
      </c>
      <c r="AG98">
        <f>(50-6.7434)/0.2901</f>
        <v>149.10927266459839</v>
      </c>
    </row>
    <row r="99" spans="1:33" x14ac:dyDescent="0.25">
      <c r="A99">
        <v>80</v>
      </c>
      <c r="B99">
        <v>0.78400000000000003</v>
      </c>
      <c r="C99" t="s">
        <v>2</v>
      </c>
      <c r="D99">
        <v>0.51800000000000002</v>
      </c>
      <c r="E99">
        <f t="shared" si="3"/>
        <v>33.928571428571431</v>
      </c>
    </row>
    <row r="100" spans="1:33" x14ac:dyDescent="0.25">
      <c r="A100">
        <v>160</v>
      </c>
      <c r="B100">
        <v>0.78400000000000003</v>
      </c>
      <c r="C100" t="s">
        <v>0</v>
      </c>
      <c r="D100">
        <v>0.40300000000000002</v>
      </c>
      <c r="E100">
        <f t="shared" si="3"/>
        <v>48.596938775510203</v>
      </c>
      <c r="F100">
        <f>AVERAGE(E100:E102)</f>
        <v>48.341836734693885</v>
      </c>
      <c r="G100">
        <f>STDEV(E100:E102)</f>
        <v>0.25510204081632182</v>
      </c>
    </row>
    <row r="101" spans="1:33" x14ac:dyDescent="0.25">
      <c r="A101">
        <v>160</v>
      </c>
      <c r="B101">
        <v>0.78400000000000003</v>
      </c>
      <c r="C101" t="s">
        <v>1</v>
      </c>
      <c r="D101">
        <v>0.40699999999999997</v>
      </c>
      <c r="E101">
        <f t="shared" si="3"/>
        <v>48.08673469387756</v>
      </c>
    </row>
    <row r="102" spans="1:33" x14ac:dyDescent="0.25">
      <c r="A102">
        <v>160</v>
      </c>
      <c r="B102">
        <v>0.78400000000000003</v>
      </c>
      <c r="C102" t="s">
        <v>2</v>
      </c>
      <c r="D102">
        <v>0.40500000000000003</v>
      </c>
      <c r="E102">
        <f t="shared" si="3"/>
        <v>48.341836734693878</v>
      </c>
    </row>
    <row r="108" spans="1:33" x14ac:dyDescent="0.25">
      <c r="A108" t="s">
        <v>5</v>
      </c>
      <c r="B108" t="s">
        <v>7</v>
      </c>
      <c r="C108" t="s">
        <v>6</v>
      </c>
      <c r="D108" t="s">
        <v>8</v>
      </c>
      <c r="E108" t="s">
        <v>4</v>
      </c>
      <c r="F108" t="s">
        <v>9</v>
      </c>
      <c r="G108" t="s">
        <v>3</v>
      </c>
    </row>
    <row r="109" spans="1:33" x14ac:dyDescent="0.25">
      <c r="A109">
        <v>2.5</v>
      </c>
      <c r="B109">
        <v>0.78400000000000003</v>
      </c>
      <c r="C109" t="s">
        <v>0</v>
      </c>
      <c r="D109">
        <v>0.77100000000000002</v>
      </c>
      <c r="E109">
        <f t="shared" ref="E109:E129" si="4">(((B109-D109)/B109)*100)</f>
        <v>1.658163265306124</v>
      </c>
      <c r="F109">
        <f>AVERAGE(E109:E110)</f>
        <v>1.5943877551020422</v>
      </c>
      <c r="G109">
        <f>STDEV(E109:E111)</f>
        <v>0.19483740199642308</v>
      </c>
    </row>
    <row r="110" spans="1:33" x14ac:dyDescent="0.25">
      <c r="A110">
        <v>2.5</v>
      </c>
      <c r="B110">
        <v>0.78400000000000003</v>
      </c>
      <c r="C110" t="s">
        <v>1</v>
      </c>
      <c r="D110">
        <v>0.77200000000000002</v>
      </c>
      <c r="E110">
        <f t="shared" si="4"/>
        <v>1.5306122448979604</v>
      </c>
    </row>
    <row r="111" spans="1:33" x14ac:dyDescent="0.25">
      <c r="A111">
        <v>2.5</v>
      </c>
      <c r="B111">
        <v>0.78400000000000003</v>
      </c>
      <c r="C111" t="s">
        <v>2</v>
      </c>
      <c r="D111">
        <v>0.77400000000000002</v>
      </c>
      <c r="E111">
        <f t="shared" si="4"/>
        <v>1.2755102040816337</v>
      </c>
    </row>
    <row r="112" spans="1:33" x14ac:dyDescent="0.25">
      <c r="A112">
        <v>5</v>
      </c>
      <c r="B112">
        <v>0.78400000000000003</v>
      </c>
      <c r="C112" t="s">
        <v>0</v>
      </c>
      <c r="D112">
        <v>0.754</v>
      </c>
      <c r="E112">
        <f t="shared" si="4"/>
        <v>3.8265306122449014</v>
      </c>
      <c r="F112">
        <f>AVERAGE(E112:E114)</f>
        <v>3.8265306122449014</v>
      </c>
      <c r="G112">
        <f>STDEV(E112:E114)</f>
        <v>0.25510204081632626</v>
      </c>
    </row>
    <row r="113" spans="1:46" x14ac:dyDescent="0.25">
      <c r="A113">
        <v>5</v>
      </c>
      <c r="B113">
        <v>0.78400000000000003</v>
      </c>
      <c r="C113" t="s">
        <v>1</v>
      </c>
      <c r="D113">
        <v>0.75600000000000001</v>
      </c>
      <c r="E113">
        <f t="shared" si="4"/>
        <v>3.5714285714285747</v>
      </c>
    </row>
    <row r="114" spans="1:46" x14ac:dyDescent="0.25">
      <c r="A114">
        <v>5</v>
      </c>
      <c r="B114">
        <v>0.78400000000000003</v>
      </c>
      <c r="C114" t="s">
        <v>2</v>
      </c>
      <c r="D114">
        <v>0.752</v>
      </c>
      <c r="E114">
        <f t="shared" si="4"/>
        <v>4.0816326530612272</v>
      </c>
      <c r="I114" s="2" t="s">
        <v>13</v>
      </c>
    </row>
    <row r="115" spans="1:46" x14ac:dyDescent="0.25">
      <c r="A115">
        <v>10</v>
      </c>
      <c r="B115">
        <v>0.78400000000000003</v>
      </c>
      <c r="C115" t="s">
        <v>0</v>
      </c>
      <c r="D115">
        <v>0.71799999999999997</v>
      </c>
      <c r="E115">
        <f t="shared" si="4"/>
        <v>8.4183673469387816</v>
      </c>
      <c r="F115">
        <f>AVERAGE(E115:E117)</f>
        <v>8.9285714285714359</v>
      </c>
      <c r="G115">
        <f>STDEV(E115:E117)</f>
        <v>0.51020408163265341</v>
      </c>
      <c r="I115" t="s">
        <v>10</v>
      </c>
      <c r="J115" t="s">
        <v>9</v>
      </c>
      <c r="T115" t="s">
        <v>10</v>
      </c>
      <c r="U115" t="s">
        <v>53</v>
      </c>
      <c r="AF115" t="s">
        <v>10</v>
      </c>
      <c r="AG115" t="s">
        <v>54</v>
      </c>
    </row>
    <row r="116" spans="1:46" x14ac:dyDescent="0.25">
      <c r="A116">
        <v>10</v>
      </c>
      <c r="B116">
        <v>0.78400000000000003</v>
      </c>
      <c r="C116" t="s">
        <v>1</v>
      </c>
      <c r="D116">
        <v>0.71</v>
      </c>
      <c r="E116">
        <f t="shared" si="4"/>
        <v>9.4387755102040884</v>
      </c>
      <c r="I116">
        <v>2.5</v>
      </c>
      <c r="J116">
        <v>1.59</v>
      </c>
      <c r="T116">
        <v>2.5</v>
      </c>
      <c r="U116">
        <v>1.39</v>
      </c>
      <c r="AF116">
        <v>2.5</v>
      </c>
      <c r="AG116">
        <v>1.78</v>
      </c>
      <c r="AS116" t="s">
        <v>55</v>
      </c>
      <c r="AT116" t="s">
        <v>3</v>
      </c>
    </row>
    <row r="117" spans="1:46" x14ac:dyDescent="0.25">
      <c r="A117">
        <v>10</v>
      </c>
      <c r="B117">
        <v>0.78400000000000003</v>
      </c>
      <c r="C117" t="s">
        <v>2</v>
      </c>
      <c r="D117">
        <v>0.71399999999999997</v>
      </c>
      <c r="E117">
        <f t="shared" si="4"/>
        <v>8.9285714285714359</v>
      </c>
      <c r="I117">
        <v>5</v>
      </c>
      <c r="J117">
        <v>3.82</v>
      </c>
      <c r="T117">
        <v>5</v>
      </c>
      <c r="U117">
        <v>3.57</v>
      </c>
      <c r="AF117">
        <v>5</v>
      </c>
      <c r="AG117">
        <v>4.08</v>
      </c>
      <c r="AS117">
        <f>(50-7.4862)/0.2529</f>
        <v>168.1051799130091</v>
      </c>
      <c r="AT117">
        <f>STDEV(AS117:AS119)</f>
        <v>1.1903071492743427</v>
      </c>
    </row>
    <row r="118" spans="1:46" x14ac:dyDescent="0.25">
      <c r="A118">
        <v>20</v>
      </c>
      <c r="B118">
        <v>0.78400000000000003</v>
      </c>
      <c r="C118" t="s">
        <v>0</v>
      </c>
      <c r="D118">
        <v>0.65100000000000002</v>
      </c>
      <c r="E118">
        <f t="shared" si="4"/>
        <v>16.964285714285715</v>
      </c>
      <c r="F118">
        <f>AVERAGE(E118:E120)</f>
        <v>16.751700680272108</v>
      </c>
      <c r="G118">
        <f>STDEV(E118:E120)</f>
        <v>0.26551862238088447</v>
      </c>
      <c r="I118">
        <v>10</v>
      </c>
      <c r="J118">
        <v>8.92</v>
      </c>
      <c r="T118">
        <v>10</v>
      </c>
      <c r="U118">
        <v>8.41</v>
      </c>
      <c r="AF118">
        <v>10</v>
      </c>
      <c r="AG118">
        <v>9.43</v>
      </c>
      <c r="AS118">
        <f>(50-7.1916)/0.2528</f>
        <v>169.33702531645568</v>
      </c>
    </row>
    <row r="119" spans="1:46" x14ac:dyDescent="0.25">
      <c r="A119">
        <v>20</v>
      </c>
      <c r="B119">
        <v>0.78400000000000003</v>
      </c>
      <c r="C119" t="s">
        <v>1</v>
      </c>
      <c r="D119">
        <v>0.65500000000000003</v>
      </c>
      <c r="E119">
        <f t="shared" si="4"/>
        <v>16.454081632653061</v>
      </c>
      <c r="I119">
        <v>20</v>
      </c>
      <c r="J119">
        <v>16.75</v>
      </c>
      <c r="T119">
        <v>20</v>
      </c>
      <c r="U119">
        <v>16.48</v>
      </c>
      <c r="AF119">
        <v>20</v>
      </c>
      <c r="AG119">
        <v>17.010000000000002</v>
      </c>
      <c r="AS119">
        <f>(50-7.7766)/0.2529</f>
        <v>166.95689996045866</v>
      </c>
    </row>
    <row r="120" spans="1:46" x14ac:dyDescent="0.25">
      <c r="A120">
        <v>20</v>
      </c>
      <c r="B120">
        <v>0.78400000000000003</v>
      </c>
      <c r="C120" t="s">
        <v>2</v>
      </c>
      <c r="D120">
        <v>0.65200000000000002</v>
      </c>
      <c r="E120">
        <f t="shared" si="4"/>
        <v>16.836734693877549</v>
      </c>
      <c r="I120">
        <v>40</v>
      </c>
      <c r="J120">
        <v>25.51</v>
      </c>
      <c r="T120">
        <v>40</v>
      </c>
      <c r="U120">
        <v>25.25</v>
      </c>
      <c r="AF120">
        <v>40</v>
      </c>
      <c r="AG120">
        <v>25.76</v>
      </c>
    </row>
    <row r="121" spans="1:46" x14ac:dyDescent="0.25">
      <c r="A121">
        <v>40</v>
      </c>
      <c r="B121">
        <v>0.78400000000000003</v>
      </c>
      <c r="C121" t="s">
        <v>0</v>
      </c>
      <c r="D121">
        <v>0.58199999999999996</v>
      </c>
      <c r="E121">
        <f t="shared" si="4"/>
        <v>25.76530612244899</v>
      </c>
      <c r="F121">
        <f>AVERAGE(E121:E123)</f>
        <v>25.510204081632661</v>
      </c>
      <c r="G121">
        <f>STDEV(E121:E123)</f>
        <v>0.25510204081632715</v>
      </c>
      <c r="I121">
        <v>80</v>
      </c>
      <c r="J121">
        <v>32.950000000000003</v>
      </c>
      <c r="T121">
        <v>80</v>
      </c>
      <c r="U121">
        <v>32.68</v>
      </c>
      <c r="AF121">
        <v>80</v>
      </c>
      <c r="AG121">
        <v>33.21</v>
      </c>
    </row>
    <row r="122" spans="1:46" x14ac:dyDescent="0.25">
      <c r="A122">
        <v>40</v>
      </c>
      <c r="B122">
        <v>0.78400000000000003</v>
      </c>
      <c r="C122" t="s">
        <v>1</v>
      </c>
      <c r="D122">
        <v>0.58599999999999997</v>
      </c>
      <c r="E122">
        <f t="shared" si="4"/>
        <v>25.255102040816336</v>
      </c>
      <c r="I122">
        <v>160</v>
      </c>
      <c r="J122">
        <v>43.15</v>
      </c>
      <c r="T122">
        <v>160</v>
      </c>
      <c r="U122">
        <v>42.83</v>
      </c>
      <c r="AF122">
        <v>160</v>
      </c>
      <c r="AG122">
        <v>43.47</v>
      </c>
    </row>
    <row r="123" spans="1:46" x14ac:dyDescent="0.25">
      <c r="A123">
        <v>40</v>
      </c>
      <c r="B123">
        <v>0.78400000000000003</v>
      </c>
      <c r="C123" t="s">
        <v>2</v>
      </c>
      <c r="D123">
        <v>0.58399999999999996</v>
      </c>
      <c r="E123">
        <f t="shared" si="4"/>
        <v>25.510204081632658</v>
      </c>
    </row>
    <row r="124" spans="1:46" x14ac:dyDescent="0.25">
      <c r="A124">
        <v>80</v>
      </c>
      <c r="B124">
        <v>0.78400000000000003</v>
      </c>
      <c r="C124" t="s">
        <v>0</v>
      </c>
      <c r="D124">
        <v>0.52500000000000002</v>
      </c>
      <c r="E124">
        <f t="shared" si="4"/>
        <v>33.035714285714285</v>
      </c>
      <c r="F124">
        <f>AVERAGE(E124:E126)</f>
        <v>32.950680272108848</v>
      </c>
      <c r="G124">
        <f>STDEV(E124:E126)</f>
        <v>0.26551862238088308</v>
      </c>
    </row>
    <row r="125" spans="1:46" x14ac:dyDescent="0.25">
      <c r="A125">
        <v>80</v>
      </c>
      <c r="B125">
        <v>0.78400000000000003</v>
      </c>
      <c r="C125" t="s">
        <v>1</v>
      </c>
      <c r="D125">
        <v>0.52800000000000002</v>
      </c>
      <c r="E125">
        <f t="shared" si="4"/>
        <v>32.653061224489797</v>
      </c>
      <c r="I125" t="s">
        <v>17</v>
      </c>
      <c r="J125">
        <f>(50-7.4862)/0.2529</f>
        <v>168.1051799130091</v>
      </c>
      <c r="T125" t="s">
        <v>17</v>
      </c>
      <c r="U125">
        <f>(50-7.1916)/0.2528</f>
        <v>169.33702531645568</v>
      </c>
      <c r="AF125" t="s">
        <v>17</v>
      </c>
      <c r="AG125">
        <f>(50-7.7766)/0.2529</f>
        <v>166.95689996045866</v>
      </c>
    </row>
    <row r="126" spans="1:46" x14ac:dyDescent="0.25">
      <c r="A126">
        <v>80</v>
      </c>
      <c r="B126">
        <v>0.78400000000000003</v>
      </c>
      <c r="C126" t="s">
        <v>2</v>
      </c>
      <c r="D126">
        <v>0.52400000000000002</v>
      </c>
      <c r="E126">
        <f t="shared" si="4"/>
        <v>33.163265306122447</v>
      </c>
    </row>
    <row r="127" spans="1:46" x14ac:dyDescent="0.25">
      <c r="A127">
        <v>160</v>
      </c>
      <c r="B127">
        <v>0.78400000000000003</v>
      </c>
      <c r="C127" t="s">
        <v>0</v>
      </c>
      <c r="D127">
        <v>0.44800000000000001</v>
      </c>
      <c r="E127">
        <f t="shared" si="4"/>
        <v>42.857142857142861</v>
      </c>
      <c r="F127">
        <f>AVERAGE(E127:E129)</f>
        <v>43.154761904761905</v>
      </c>
      <c r="G127">
        <f>STDEV(E127:E129)</f>
        <v>0.32099636204382292</v>
      </c>
    </row>
    <row r="128" spans="1:46" x14ac:dyDescent="0.25">
      <c r="A128">
        <v>160</v>
      </c>
      <c r="B128">
        <v>0.78400000000000003</v>
      </c>
      <c r="C128" t="s">
        <v>1</v>
      </c>
      <c r="D128">
        <v>0.443</v>
      </c>
      <c r="E128">
        <f t="shared" si="4"/>
        <v>43.494897959183675</v>
      </c>
    </row>
    <row r="129" spans="1:46" x14ac:dyDescent="0.25">
      <c r="A129">
        <v>160</v>
      </c>
      <c r="B129">
        <v>0.78400000000000003</v>
      </c>
      <c r="C129" t="s">
        <v>2</v>
      </c>
      <c r="D129">
        <v>0.44600000000000001</v>
      </c>
      <c r="E129">
        <f t="shared" si="4"/>
        <v>43.112244897959187</v>
      </c>
    </row>
    <row r="135" spans="1:46" x14ac:dyDescent="0.25">
      <c r="A135" t="s">
        <v>5</v>
      </c>
      <c r="B135" t="s">
        <v>7</v>
      </c>
      <c r="C135" t="s">
        <v>6</v>
      </c>
      <c r="D135" t="s">
        <v>8</v>
      </c>
      <c r="E135" t="s">
        <v>4</v>
      </c>
      <c r="F135" t="s">
        <v>9</v>
      </c>
      <c r="G135" t="s">
        <v>3</v>
      </c>
    </row>
    <row r="136" spans="1:46" x14ac:dyDescent="0.25">
      <c r="A136">
        <v>2.5</v>
      </c>
      <c r="B136">
        <v>0.78400000000000003</v>
      </c>
      <c r="C136" t="s">
        <v>0</v>
      </c>
      <c r="D136">
        <v>0.77400000000000002</v>
      </c>
      <c r="E136">
        <f t="shared" ref="E136:E156" si="5">(((B136-D136)/B136)*100)</f>
        <v>1.2755102040816337</v>
      </c>
      <c r="F136">
        <f>AVERAGE(E136:E138)</f>
        <v>1.1054421768707492</v>
      </c>
      <c r="G136">
        <f>STDEV(E136:E138)</f>
        <v>0.4100191650082044</v>
      </c>
    </row>
    <row r="137" spans="1:46" x14ac:dyDescent="0.25">
      <c r="A137">
        <v>2.5</v>
      </c>
      <c r="B137">
        <v>0.78400000000000003</v>
      </c>
      <c r="C137" t="s">
        <v>1</v>
      </c>
      <c r="D137">
        <v>0.77300000000000002</v>
      </c>
      <c r="E137">
        <f t="shared" si="5"/>
        <v>1.4030612244897971</v>
      </c>
    </row>
    <row r="138" spans="1:46" x14ac:dyDescent="0.25">
      <c r="A138">
        <v>2.5</v>
      </c>
      <c r="B138">
        <v>0.78400000000000003</v>
      </c>
      <c r="C138" t="s">
        <v>2</v>
      </c>
      <c r="D138">
        <v>0.77900000000000003</v>
      </c>
      <c r="E138">
        <f t="shared" si="5"/>
        <v>0.63775510204081687</v>
      </c>
    </row>
    <row r="139" spans="1:46" x14ac:dyDescent="0.25">
      <c r="A139">
        <v>5</v>
      </c>
      <c r="B139">
        <v>0.78400000000000003</v>
      </c>
      <c r="C139" t="s">
        <v>0</v>
      </c>
      <c r="D139">
        <v>0.75600000000000001</v>
      </c>
      <c r="E139">
        <f t="shared" si="5"/>
        <v>3.5714285714285747</v>
      </c>
      <c r="F139">
        <f>AVERAGE(E139:E141)</f>
        <v>3.8690476190476222</v>
      </c>
      <c r="G139">
        <f>STDEV(E139:E141)</f>
        <v>0.26551862238088414</v>
      </c>
    </row>
    <row r="140" spans="1:46" x14ac:dyDescent="0.25">
      <c r="A140">
        <v>5</v>
      </c>
      <c r="B140">
        <v>0.78400000000000003</v>
      </c>
      <c r="C140" t="s">
        <v>1</v>
      </c>
      <c r="D140">
        <v>0.753</v>
      </c>
      <c r="E140">
        <f t="shared" si="5"/>
        <v>3.954081632653065</v>
      </c>
    </row>
    <row r="141" spans="1:46" x14ac:dyDescent="0.25">
      <c r="A141">
        <v>5</v>
      </c>
      <c r="B141">
        <v>0.78400000000000003</v>
      </c>
      <c r="C141" t="s">
        <v>2</v>
      </c>
      <c r="D141">
        <v>0.752</v>
      </c>
      <c r="E141">
        <f t="shared" si="5"/>
        <v>4.0816326530612272</v>
      </c>
      <c r="I141" s="2" t="s">
        <v>12</v>
      </c>
    </row>
    <row r="142" spans="1:46" x14ac:dyDescent="0.25">
      <c r="A142">
        <v>10</v>
      </c>
      <c r="B142">
        <v>0.78400000000000003</v>
      </c>
      <c r="C142" t="s">
        <v>0</v>
      </c>
      <c r="D142">
        <v>0.71799999999999997</v>
      </c>
      <c r="E142">
        <f t="shared" si="5"/>
        <v>8.4183673469387816</v>
      </c>
      <c r="F142">
        <f>AVERAGE(E142:E144)</f>
        <v>8.7159863945578291</v>
      </c>
      <c r="G142">
        <f>STDEV(E142:E144)</f>
        <v>0.3209963620438247</v>
      </c>
      <c r="I142" t="s">
        <v>10</v>
      </c>
      <c r="J142" t="s">
        <v>9</v>
      </c>
      <c r="U142" t="s">
        <v>10</v>
      </c>
      <c r="V142" t="s">
        <v>53</v>
      </c>
      <c r="AF142" t="s">
        <v>10</v>
      </c>
      <c r="AG142" t="s">
        <v>54</v>
      </c>
    </row>
    <row r="143" spans="1:46" x14ac:dyDescent="0.25">
      <c r="A143">
        <v>10</v>
      </c>
      <c r="B143">
        <v>0.78400000000000003</v>
      </c>
      <c r="C143" t="s">
        <v>1</v>
      </c>
      <c r="D143">
        <v>0.71299999999999997</v>
      </c>
      <c r="E143">
        <f t="shared" si="5"/>
        <v>9.0561224489795986</v>
      </c>
      <c r="I143">
        <v>2.5</v>
      </c>
      <c r="J143">
        <v>1.1000000000000001</v>
      </c>
      <c r="U143">
        <v>2.5</v>
      </c>
      <c r="V143">
        <v>0.69</v>
      </c>
      <c r="AF143">
        <v>2.5</v>
      </c>
      <c r="AG143">
        <v>1.51</v>
      </c>
      <c r="AS143" t="s">
        <v>55</v>
      </c>
      <c r="AT143" t="s">
        <v>3</v>
      </c>
    </row>
    <row r="144" spans="1:46" x14ac:dyDescent="0.25">
      <c r="A144">
        <v>10</v>
      </c>
      <c r="B144">
        <v>0.78400000000000003</v>
      </c>
      <c r="C144" t="s">
        <v>2</v>
      </c>
      <c r="D144">
        <v>0.71599999999999997</v>
      </c>
      <c r="E144">
        <f t="shared" si="5"/>
        <v>8.6734693877551088</v>
      </c>
      <c r="I144">
        <v>5</v>
      </c>
      <c r="J144">
        <v>3.86</v>
      </c>
      <c r="U144">
        <v>5</v>
      </c>
      <c r="V144">
        <v>3.6</v>
      </c>
      <c r="AF144">
        <v>5</v>
      </c>
      <c r="AG144">
        <v>4.13</v>
      </c>
      <c r="AS144">
        <f>(50-8.0053)/0.2223</f>
        <v>188.91003148897886</v>
      </c>
      <c r="AT144">
        <f>STDEV(AS144:AS146)</f>
        <v>0.97180171007896754</v>
      </c>
    </row>
    <row r="145" spans="1:45" x14ac:dyDescent="0.25">
      <c r="A145">
        <v>20</v>
      </c>
      <c r="B145">
        <v>0.78400000000000003</v>
      </c>
      <c r="C145" t="s">
        <v>0</v>
      </c>
      <c r="D145">
        <v>0.65300000000000002</v>
      </c>
      <c r="E145">
        <f t="shared" si="5"/>
        <v>16.70918367346939</v>
      </c>
      <c r="F145">
        <f>AVERAGE(E145:E147)</f>
        <v>16.454081632653061</v>
      </c>
      <c r="G145">
        <f>STDEV(E145:E147)</f>
        <v>0.25510204081632715</v>
      </c>
      <c r="I145">
        <v>10</v>
      </c>
      <c r="J145">
        <v>8.7100000000000009</v>
      </c>
      <c r="U145">
        <v>10</v>
      </c>
      <c r="V145">
        <v>8.39</v>
      </c>
      <c r="AF145">
        <v>10</v>
      </c>
      <c r="AG145">
        <v>9.0299999999999994</v>
      </c>
      <c r="AS145">
        <f>(50-7.6492)/0.223</f>
        <v>189.91390134529146</v>
      </c>
    </row>
    <row r="146" spans="1:45" x14ac:dyDescent="0.25">
      <c r="A146">
        <v>20</v>
      </c>
      <c r="B146">
        <v>0.78400000000000003</v>
      </c>
      <c r="C146" t="s">
        <v>1</v>
      </c>
      <c r="D146">
        <v>0.65700000000000003</v>
      </c>
      <c r="E146">
        <f t="shared" si="5"/>
        <v>16.198979591836736</v>
      </c>
      <c r="I146">
        <v>20</v>
      </c>
      <c r="J146">
        <v>16.45</v>
      </c>
      <c r="U146">
        <v>20</v>
      </c>
      <c r="V146">
        <v>16.190000000000001</v>
      </c>
      <c r="AF146">
        <v>20</v>
      </c>
      <c r="AG146">
        <v>16.7</v>
      </c>
      <c r="AS146">
        <f>(50-8.3645)/0.2215</f>
        <v>187.97065462753952</v>
      </c>
    </row>
    <row r="147" spans="1:45" x14ac:dyDescent="0.25">
      <c r="A147">
        <v>20</v>
      </c>
      <c r="B147">
        <v>0.78400000000000003</v>
      </c>
      <c r="C147" t="s">
        <v>2</v>
      </c>
      <c r="D147">
        <v>0.65500000000000003</v>
      </c>
      <c r="E147">
        <f t="shared" si="5"/>
        <v>16.454081632653061</v>
      </c>
      <c r="I147">
        <v>40</v>
      </c>
      <c r="J147">
        <v>26.82</v>
      </c>
      <c r="U147">
        <v>40</v>
      </c>
      <c r="V147">
        <v>26.34</v>
      </c>
      <c r="AF147">
        <v>40</v>
      </c>
      <c r="AG147">
        <v>27.31</v>
      </c>
    </row>
    <row r="148" spans="1:45" x14ac:dyDescent="0.25">
      <c r="A148">
        <v>40</v>
      </c>
      <c r="B148">
        <v>0.78400000000000003</v>
      </c>
      <c r="C148" t="s">
        <v>0</v>
      </c>
      <c r="D148">
        <v>0.57199999999999995</v>
      </c>
      <c r="E148">
        <f t="shared" si="5"/>
        <v>27.040816326530621</v>
      </c>
      <c r="F148">
        <f>AVERAGE(E148:E150)</f>
        <v>26.828231292517017</v>
      </c>
      <c r="G148">
        <f>STDEV(E148:E150)</f>
        <v>0.48290036954083942</v>
      </c>
      <c r="I148">
        <v>80</v>
      </c>
      <c r="J148">
        <v>31.63</v>
      </c>
      <c r="U148">
        <v>80</v>
      </c>
      <c r="V148">
        <v>31.29</v>
      </c>
      <c r="AF148">
        <v>80</v>
      </c>
      <c r="AG148">
        <v>31.97</v>
      </c>
    </row>
    <row r="149" spans="1:45" x14ac:dyDescent="0.25">
      <c r="A149">
        <v>40</v>
      </c>
      <c r="B149">
        <v>0.78400000000000003</v>
      </c>
      <c r="C149" t="s">
        <v>1</v>
      </c>
      <c r="D149">
        <v>0.57099999999999995</v>
      </c>
      <c r="E149">
        <f t="shared" si="5"/>
        <v>27.168367346938783</v>
      </c>
      <c r="I149">
        <v>160</v>
      </c>
      <c r="J149">
        <v>38.049999999999997</v>
      </c>
      <c r="U149">
        <v>160</v>
      </c>
      <c r="V149">
        <v>37.85</v>
      </c>
      <c r="AF149">
        <v>160</v>
      </c>
      <c r="AG149">
        <v>38.24</v>
      </c>
    </row>
    <row r="150" spans="1:45" x14ac:dyDescent="0.25">
      <c r="A150">
        <v>40</v>
      </c>
      <c r="B150">
        <v>0.78400000000000003</v>
      </c>
      <c r="C150" t="s">
        <v>2</v>
      </c>
      <c r="D150">
        <v>0.57799999999999996</v>
      </c>
      <c r="E150">
        <f t="shared" si="5"/>
        <v>26.275510204081641</v>
      </c>
    </row>
    <row r="151" spans="1:45" x14ac:dyDescent="0.25">
      <c r="A151">
        <v>80</v>
      </c>
      <c r="B151">
        <v>0.78400000000000003</v>
      </c>
      <c r="C151" t="s">
        <v>0</v>
      </c>
      <c r="D151">
        <v>0.53700000000000003</v>
      </c>
      <c r="E151">
        <f t="shared" si="5"/>
        <v>31.505102040816325</v>
      </c>
      <c r="F151">
        <f>AVERAGE(E151:E153)</f>
        <v>31.632653061224488</v>
      </c>
      <c r="G151">
        <f>STDEV(E151:E153)</f>
        <v>0.33746827947252278</v>
      </c>
    </row>
    <row r="152" spans="1:45" x14ac:dyDescent="0.25">
      <c r="A152">
        <v>80</v>
      </c>
      <c r="B152">
        <v>0.78400000000000003</v>
      </c>
      <c r="C152" t="s">
        <v>1</v>
      </c>
      <c r="D152">
        <v>0.53800000000000003</v>
      </c>
      <c r="E152">
        <f t="shared" si="5"/>
        <v>31.377551020408163</v>
      </c>
      <c r="I152" t="s">
        <v>17</v>
      </c>
      <c r="J152">
        <f>(50-8.0053)/0.2223</f>
        <v>188.91003148897886</v>
      </c>
      <c r="U152" t="s">
        <v>17</v>
      </c>
      <c r="V152">
        <f>(50-7.6492)/0.223</f>
        <v>189.91390134529146</v>
      </c>
      <c r="AF152" t="s">
        <v>17</v>
      </c>
      <c r="AG152">
        <f>(50-8.3645)/0.2215</f>
        <v>187.97065462753952</v>
      </c>
    </row>
    <row r="153" spans="1:45" x14ac:dyDescent="0.25">
      <c r="A153">
        <v>80</v>
      </c>
      <c r="B153">
        <v>0.78400000000000003</v>
      </c>
      <c r="C153" t="s">
        <v>2</v>
      </c>
      <c r="D153">
        <v>0.53300000000000003</v>
      </c>
      <c r="E153">
        <f t="shared" si="5"/>
        <v>32.015306122448976</v>
      </c>
    </row>
    <row r="154" spans="1:45" x14ac:dyDescent="0.25">
      <c r="A154">
        <v>160</v>
      </c>
      <c r="B154">
        <v>0.78400000000000003</v>
      </c>
      <c r="C154" t="s">
        <v>0</v>
      </c>
      <c r="D154">
        <v>0.48399999999999999</v>
      </c>
      <c r="E154">
        <f t="shared" si="5"/>
        <v>38.265306122448983</v>
      </c>
      <c r="F154">
        <f>AVERAGE(E154:E156)</f>
        <v>38.052721088435376</v>
      </c>
      <c r="G154">
        <f>STDEV(E154:E156)</f>
        <v>0.19483740199642399</v>
      </c>
    </row>
    <row r="155" spans="1:45" x14ac:dyDescent="0.25">
      <c r="A155">
        <v>160</v>
      </c>
      <c r="B155">
        <v>0.78400000000000003</v>
      </c>
      <c r="C155" t="s">
        <v>1</v>
      </c>
      <c r="D155">
        <v>0.48599999999999999</v>
      </c>
      <c r="E155">
        <f t="shared" si="5"/>
        <v>38.010204081632658</v>
      </c>
    </row>
    <row r="156" spans="1:45" x14ac:dyDescent="0.25">
      <c r="A156">
        <v>160</v>
      </c>
      <c r="B156">
        <v>0.78400000000000003</v>
      </c>
      <c r="C156" t="s">
        <v>2</v>
      </c>
      <c r="D156">
        <v>0.48699999999999999</v>
      </c>
      <c r="E156">
        <f t="shared" si="5"/>
        <v>37.882653061224488</v>
      </c>
    </row>
    <row r="162" spans="3:4" x14ac:dyDescent="0.25">
      <c r="C162" t="s">
        <v>20</v>
      </c>
    </row>
    <row r="163" spans="3:4" x14ac:dyDescent="0.25">
      <c r="C163" t="s">
        <v>32</v>
      </c>
    </row>
    <row r="164" spans="3:4" x14ac:dyDescent="0.25">
      <c r="D164">
        <v>0.747</v>
      </c>
    </row>
    <row r="165" spans="3:4" x14ac:dyDescent="0.25">
      <c r="D165">
        <v>0.77200000000000002</v>
      </c>
    </row>
    <row r="166" spans="3:4" x14ac:dyDescent="0.25">
      <c r="D166">
        <v>0.83499999999999996</v>
      </c>
    </row>
    <row r="167" spans="3:4" x14ac:dyDescent="0.25">
      <c r="C167" t="s">
        <v>22</v>
      </c>
      <c r="D167">
        <f>AVERAGE(D164:D166)</f>
        <v>0.78466666666666673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8"/>
  <sheetViews>
    <sheetView topLeftCell="AD131" workbookViewId="0">
      <selection activeCell="AI172" sqref="AI172"/>
    </sheetView>
  </sheetViews>
  <sheetFormatPr defaultRowHeight="15" x14ac:dyDescent="0.25"/>
  <sheetData>
    <row r="1" spans="1:45" x14ac:dyDescent="0.25">
      <c r="A1" t="s">
        <v>5</v>
      </c>
      <c r="B1" t="s">
        <v>7</v>
      </c>
      <c r="C1" t="s">
        <v>6</v>
      </c>
      <c r="D1" t="s">
        <v>8</v>
      </c>
      <c r="E1" t="s">
        <v>4</v>
      </c>
      <c r="F1" t="s">
        <v>9</v>
      </c>
      <c r="G1" t="s">
        <v>3</v>
      </c>
    </row>
    <row r="2" spans="1:45" x14ac:dyDescent="0.25">
      <c r="A2">
        <v>5</v>
      </c>
      <c r="B2">
        <v>0.76200000000000001</v>
      </c>
      <c r="C2" t="s">
        <v>0</v>
      </c>
      <c r="D2">
        <v>0.624</v>
      </c>
      <c r="E2">
        <f>(((B2-D2)/B2)*100)</f>
        <v>18.110236220472441</v>
      </c>
      <c r="F2">
        <f>AVERAGE(E2:E4)</f>
        <v>17.935258092738408</v>
      </c>
      <c r="G2">
        <f>STDEV(E2:E4)</f>
        <v>0.42185698866985882</v>
      </c>
    </row>
    <row r="3" spans="1:45" x14ac:dyDescent="0.25">
      <c r="A3">
        <v>5</v>
      </c>
      <c r="B3">
        <v>0.76200000000000001</v>
      </c>
      <c r="C3" t="s">
        <v>1</v>
      </c>
      <c r="D3">
        <v>0.623</v>
      </c>
      <c r="E3">
        <f t="shared" ref="E3:E16" si="0">(((B3-D3)/B3)*100)</f>
        <v>18.241469816272968</v>
      </c>
    </row>
    <row r="4" spans="1:45" x14ac:dyDescent="0.25">
      <c r="A4">
        <v>5</v>
      </c>
      <c r="B4">
        <v>0.76200000000000001</v>
      </c>
      <c r="C4" t="s">
        <v>2</v>
      </c>
      <c r="D4">
        <v>0.629</v>
      </c>
      <c r="E4">
        <f t="shared" si="0"/>
        <v>17.454068241469816</v>
      </c>
    </row>
    <row r="5" spans="1:45" x14ac:dyDescent="0.25">
      <c r="A5">
        <v>10</v>
      </c>
      <c r="B5">
        <v>0.76200000000000001</v>
      </c>
      <c r="C5" t="s">
        <v>0</v>
      </c>
      <c r="D5">
        <v>0.46700000000000003</v>
      </c>
      <c r="E5">
        <f t="shared" si="0"/>
        <v>38.71391076115485</v>
      </c>
      <c r="F5">
        <f>AVERAGE(E5:E7)</f>
        <v>39.020122484689409</v>
      </c>
      <c r="G5">
        <f>STDEV(E5:E7)</f>
        <v>0.27318451436563529</v>
      </c>
      <c r="I5" t="s">
        <v>10</v>
      </c>
      <c r="J5" t="s">
        <v>9</v>
      </c>
      <c r="T5" t="s">
        <v>10</v>
      </c>
      <c r="U5" t="s">
        <v>53</v>
      </c>
      <c r="AF5" t="s">
        <v>10</v>
      </c>
      <c r="AG5" t="s">
        <v>54</v>
      </c>
    </row>
    <row r="6" spans="1:45" x14ac:dyDescent="0.25">
      <c r="A6">
        <v>10</v>
      </c>
      <c r="B6">
        <v>0.76200000000000001</v>
      </c>
      <c r="C6" t="s">
        <v>1</v>
      </c>
      <c r="D6">
        <v>0.46400000000000002</v>
      </c>
      <c r="E6">
        <f t="shared" si="0"/>
        <v>39.107611548556427</v>
      </c>
      <c r="I6">
        <v>5</v>
      </c>
      <c r="J6">
        <v>17.940000000000001</v>
      </c>
      <c r="T6">
        <v>5</v>
      </c>
      <c r="U6">
        <v>17.93</v>
      </c>
      <c r="AF6">
        <v>5</v>
      </c>
      <c r="AG6">
        <v>18.350000000000001</v>
      </c>
    </row>
    <row r="7" spans="1:45" x14ac:dyDescent="0.25">
      <c r="A7">
        <v>10</v>
      </c>
      <c r="B7">
        <v>0.76200000000000001</v>
      </c>
      <c r="C7" t="s">
        <v>2</v>
      </c>
      <c r="D7">
        <v>0.46300000000000002</v>
      </c>
      <c r="E7">
        <f t="shared" si="0"/>
        <v>39.238845144356951</v>
      </c>
      <c r="I7">
        <v>10</v>
      </c>
      <c r="J7">
        <v>39.020000000000003</v>
      </c>
      <c r="T7">
        <v>10</v>
      </c>
      <c r="U7">
        <v>38.74</v>
      </c>
      <c r="AF7">
        <v>10</v>
      </c>
      <c r="AG7">
        <v>36.29</v>
      </c>
    </row>
    <row r="8" spans="1:45" x14ac:dyDescent="0.25">
      <c r="A8">
        <v>20</v>
      </c>
      <c r="B8">
        <v>0.76200000000000001</v>
      </c>
      <c r="C8" t="s">
        <v>0</v>
      </c>
      <c r="D8">
        <v>0.33700000000000002</v>
      </c>
      <c r="E8">
        <f t="shared" si="0"/>
        <v>55.774278215223092</v>
      </c>
      <c r="F8">
        <f>AVERAGE(E8:E10)</f>
        <v>56.080489938757658</v>
      </c>
      <c r="G8">
        <f>STDEV(E8:E10)</f>
        <v>0.27318451436563806</v>
      </c>
      <c r="I8">
        <v>20</v>
      </c>
      <c r="J8">
        <v>56.08</v>
      </c>
      <c r="T8">
        <v>20</v>
      </c>
      <c r="U8">
        <v>55.8</v>
      </c>
      <c r="AF8">
        <v>20</v>
      </c>
      <c r="AG8">
        <v>56.35</v>
      </c>
      <c r="AR8" t="s">
        <v>55</v>
      </c>
      <c r="AS8" t="s">
        <v>3</v>
      </c>
    </row>
    <row r="9" spans="1:45" x14ac:dyDescent="0.25">
      <c r="A9">
        <v>20</v>
      </c>
      <c r="B9">
        <v>0.76200000000000001</v>
      </c>
      <c r="C9" t="s">
        <v>1</v>
      </c>
      <c r="D9">
        <v>0.33400000000000002</v>
      </c>
      <c r="E9">
        <f t="shared" si="0"/>
        <v>56.167979002624669</v>
      </c>
      <c r="I9">
        <v>40</v>
      </c>
      <c r="J9">
        <v>82.41</v>
      </c>
      <c r="T9">
        <v>40</v>
      </c>
      <c r="U9">
        <v>82.15</v>
      </c>
      <c r="AF9">
        <v>40</v>
      </c>
      <c r="AG9">
        <v>82.67</v>
      </c>
      <c r="AR9">
        <f>(50-28.88)/0.9452</f>
        <v>22.344477359289041</v>
      </c>
      <c r="AS9">
        <f>STDEV(AR9:AR11)</f>
        <v>0.22020253812699578</v>
      </c>
    </row>
    <row r="10" spans="1:45" x14ac:dyDescent="0.25">
      <c r="A10">
        <v>20</v>
      </c>
      <c r="B10">
        <v>0.76200000000000001</v>
      </c>
      <c r="C10" t="s">
        <v>2</v>
      </c>
      <c r="D10">
        <v>0.33300000000000002</v>
      </c>
      <c r="E10">
        <f t="shared" si="0"/>
        <v>56.2992125984252</v>
      </c>
      <c r="I10">
        <v>80</v>
      </c>
      <c r="J10">
        <v>95.45</v>
      </c>
      <c r="T10">
        <v>80</v>
      </c>
      <c r="U10">
        <v>94.95</v>
      </c>
      <c r="AF10">
        <v>80</v>
      </c>
      <c r="AG10">
        <v>95.94</v>
      </c>
      <c r="AR10">
        <f>(50-28.761)/0.9404</f>
        <v>22.585070182900893</v>
      </c>
    </row>
    <row r="11" spans="1:45" x14ac:dyDescent="0.25">
      <c r="A11">
        <v>40</v>
      </c>
      <c r="B11">
        <v>0.76200000000000001</v>
      </c>
      <c r="C11" t="s">
        <v>0</v>
      </c>
      <c r="D11">
        <v>0.13200000000000001</v>
      </c>
      <c r="E11">
        <f t="shared" si="0"/>
        <v>82.677165354330711</v>
      </c>
      <c r="F11">
        <f>AVERAGE(E11:E13)</f>
        <v>82.414698162729664</v>
      </c>
      <c r="G11">
        <f>STDEV(E11:E13)</f>
        <v>0.26246719160105414</v>
      </c>
      <c r="AR11">
        <f>(50-28.036)/0.964</f>
        <v>22.784232365145229</v>
      </c>
    </row>
    <row r="12" spans="1:45" x14ac:dyDescent="0.25">
      <c r="A12">
        <v>40</v>
      </c>
      <c r="B12">
        <v>0.76200000000000001</v>
      </c>
      <c r="C12" t="s">
        <v>1</v>
      </c>
      <c r="D12">
        <v>0.13600000000000001</v>
      </c>
      <c r="E12">
        <f t="shared" si="0"/>
        <v>82.152230971128603</v>
      </c>
    </row>
    <row r="13" spans="1:45" x14ac:dyDescent="0.25">
      <c r="A13">
        <v>40</v>
      </c>
      <c r="B13">
        <v>0.76200000000000001</v>
      </c>
      <c r="C13" t="s">
        <v>2</v>
      </c>
      <c r="D13">
        <v>0.13400000000000001</v>
      </c>
      <c r="E13">
        <f t="shared" si="0"/>
        <v>82.414698162729664</v>
      </c>
      <c r="I13" t="s">
        <v>18</v>
      </c>
      <c r="J13">
        <f>(50-28.88)/0.9452</f>
        <v>22.344477359289041</v>
      </c>
      <c r="T13" t="s">
        <v>17</v>
      </c>
      <c r="U13">
        <f>(50-28.761)/0.9404</f>
        <v>22.585070182900893</v>
      </c>
      <c r="AF13" t="s">
        <v>17</v>
      </c>
      <c r="AG13">
        <f>(50-28.036)/0.964</f>
        <v>22.784232365145229</v>
      </c>
    </row>
    <row r="14" spans="1:45" x14ac:dyDescent="0.25">
      <c r="A14">
        <v>80</v>
      </c>
      <c r="B14">
        <v>0.76200000000000001</v>
      </c>
      <c r="C14" t="s">
        <v>0</v>
      </c>
      <c r="D14">
        <v>3.2000000000000001E-2</v>
      </c>
      <c r="E14">
        <f t="shared" si="0"/>
        <v>95.800524934383205</v>
      </c>
      <c r="F14">
        <f>AVERAGE(E14:E16)</f>
        <v>95.450568678915147</v>
      </c>
      <c r="G14">
        <f>STDEV(E14:E16)</f>
        <v>0.49684237496065353</v>
      </c>
    </row>
    <row r="15" spans="1:45" x14ac:dyDescent="0.25">
      <c r="A15">
        <v>80</v>
      </c>
      <c r="B15">
        <v>0.76200000000000001</v>
      </c>
      <c r="C15" t="s">
        <v>1</v>
      </c>
      <c r="D15">
        <v>3.3000000000000002E-2</v>
      </c>
      <c r="E15">
        <f t="shared" si="0"/>
        <v>95.669291338582667</v>
      </c>
    </row>
    <row r="16" spans="1:45" x14ac:dyDescent="0.25">
      <c r="A16">
        <v>80</v>
      </c>
      <c r="B16">
        <v>0.76200000000000001</v>
      </c>
      <c r="C16" t="s">
        <v>2</v>
      </c>
      <c r="D16">
        <v>3.9E-2</v>
      </c>
      <c r="E16">
        <f t="shared" si="0"/>
        <v>94.881889763779526</v>
      </c>
    </row>
    <row r="27" spans="1:7" x14ac:dyDescent="0.25">
      <c r="A27" t="s">
        <v>5</v>
      </c>
      <c r="B27" t="s">
        <v>7</v>
      </c>
      <c r="C27" t="s">
        <v>6</v>
      </c>
      <c r="D27" t="s">
        <v>8</v>
      </c>
      <c r="E27" t="s">
        <v>4</v>
      </c>
      <c r="F27" t="s">
        <v>9</v>
      </c>
      <c r="G27" t="s">
        <v>3</v>
      </c>
    </row>
    <row r="28" spans="1:7" x14ac:dyDescent="0.25">
      <c r="A28">
        <v>2.5</v>
      </c>
      <c r="B28">
        <v>0.76200000000000001</v>
      </c>
      <c r="C28" t="s">
        <v>0</v>
      </c>
      <c r="D28">
        <v>0.75600000000000001</v>
      </c>
      <c r="E28">
        <f>(((B28-D28)/B28)*100)</f>
        <v>0.78740157480315032</v>
      </c>
      <c r="F28" s="5">
        <f>AVERAGE(E28:E30)</f>
        <v>0.74365704286964196</v>
      </c>
      <c r="G28" s="5">
        <f>STDEV(E28:E30)</f>
        <v>0.20046262882571486</v>
      </c>
    </row>
    <row r="29" spans="1:7" x14ac:dyDescent="0.25">
      <c r="A29">
        <v>2.5</v>
      </c>
      <c r="B29">
        <v>0.76200000000000001</v>
      </c>
      <c r="C29" t="s">
        <v>1</v>
      </c>
      <c r="D29">
        <v>0.755</v>
      </c>
      <c r="E29">
        <f>(((B29-D29)/B29)*100)</f>
        <v>0.91863517060367539</v>
      </c>
    </row>
    <row r="30" spans="1:7" x14ac:dyDescent="0.25">
      <c r="A30">
        <v>2.5</v>
      </c>
      <c r="B30">
        <v>0.76200000000000001</v>
      </c>
      <c r="C30" t="s">
        <v>2</v>
      </c>
      <c r="D30">
        <v>0.75800000000000001</v>
      </c>
      <c r="E30">
        <f t="shared" ref="E30:E48" si="1">(((B30-D30)/B30)*100)</f>
        <v>0.52493438320210017</v>
      </c>
    </row>
    <row r="31" spans="1:7" x14ac:dyDescent="0.25">
      <c r="A31">
        <v>5</v>
      </c>
      <c r="B31">
        <v>0.76200000000000001</v>
      </c>
      <c r="C31" t="s">
        <v>0</v>
      </c>
      <c r="D31">
        <v>0.745</v>
      </c>
      <c r="E31">
        <f t="shared" si="1"/>
        <v>2.230971128608926</v>
      </c>
      <c r="F31">
        <f>AVERAGE(E31:E33)</f>
        <v>2.2747156605424341</v>
      </c>
      <c r="G31">
        <f>STDEV(E31:E33)</f>
        <v>0.20046262882571486</v>
      </c>
    </row>
    <row r="32" spans="1:7" x14ac:dyDescent="0.25">
      <c r="A32">
        <v>5</v>
      </c>
      <c r="B32">
        <v>0.76200000000000001</v>
      </c>
      <c r="C32" t="s">
        <v>1</v>
      </c>
      <c r="D32">
        <v>0.74299999999999999</v>
      </c>
      <c r="E32">
        <f t="shared" si="1"/>
        <v>2.4934383202099757</v>
      </c>
    </row>
    <row r="33" spans="1:45" x14ac:dyDescent="0.25">
      <c r="A33">
        <v>5</v>
      </c>
      <c r="B33">
        <v>0.76200000000000001</v>
      </c>
      <c r="C33" t="s">
        <v>2</v>
      </c>
      <c r="D33">
        <v>0.746</v>
      </c>
      <c r="E33">
        <f t="shared" si="1"/>
        <v>2.0997375328084007</v>
      </c>
      <c r="I33" s="2" t="s">
        <v>11</v>
      </c>
    </row>
    <row r="34" spans="1:45" x14ac:dyDescent="0.25">
      <c r="A34">
        <v>10</v>
      </c>
      <c r="B34">
        <v>0.76200000000000001</v>
      </c>
      <c r="C34" t="s">
        <v>0</v>
      </c>
      <c r="D34">
        <v>0.71799999999999997</v>
      </c>
      <c r="E34">
        <f t="shared" si="1"/>
        <v>5.7742782152231023</v>
      </c>
      <c r="F34">
        <f>AVERAGE(E34:E36)</f>
        <v>5.9492563429571357</v>
      </c>
      <c r="G34">
        <f>STDEV(E34:E36)</f>
        <v>0.15153550372431165</v>
      </c>
      <c r="I34" t="s">
        <v>10</v>
      </c>
      <c r="J34" t="s">
        <v>9</v>
      </c>
      <c r="T34" t="s">
        <v>10</v>
      </c>
      <c r="U34" t="s">
        <v>53</v>
      </c>
      <c r="AF34" t="s">
        <v>10</v>
      </c>
      <c r="AG34" t="s">
        <v>54</v>
      </c>
    </row>
    <row r="35" spans="1:45" x14ac:dyDescent="0.25">
      <c r="A35">
        <v>10</v>
      </c>
      <c r="B35">
        <v>0.76200000000000001</v>
      </c>
      <c r="C35" t="s">
        <v>1</v>
      </c>
      <c r="D35">
        <v>0.71599999999999997</v>
      </c>
      <c r="E35">
        <f t="shared" si="1"/>
        <v>6.0367454068241528</v>
      </c>
      <c r="I35">
        <v>2.5</v>
      </c>
      <c r="J35">
        <v>0.74</v>
      </c>
      <c r="T35">
        <v>2.5</v>
      </c>
      <c r="U35">
        <v>0.54</v>
      </c>
      <c r="AF35">
        <v>2.5</v>
      </c>
      <c r="AG35">
        <v>0.94</v>
      </c>
      <c r="AR35" t="s">
        <v>55</v>
      </c>
      <c r="AS35" t="s">
        <v>3</v>
      </c>
    </row>
    <row r="36" spans="1:45" x14ac:dyDescent="0.25">
      <c r="A36">
        <v>10</v>
      </c>
      <c r="B36">
        <v>0.76200000000000001</v>
      </c>
      <c r="C36" t="s">
        <v>2</v>
      </c>
      <c r="D36">
        <v>0.71599999999999997</v>
      </c>
      <c r="E36">
        <f t="shared" si="1"/>
        <v>6.0367454068241528</v>
      </c>
      <c r="I36">
        <v>5</v>
      </c>
      <c r="J36">
        <v>2.27</v>
      </c>
      <c r="T36">
        <v>5</v>
      </c>
      <c r="U36">
        <v>2.0699999999999998</v>
      </c>
      <c r="AF36">
        <v>5</v>
      </c>
      <c r="AG36">
        <v>2.4700000000000002</v>
      </c>
      <c r="AR36">
        <f>(50-5.6583)/0.1697</f>
        <v>261.29463759575725</v>
      </c>
      <c r="AS36">
        <f>STDEV(AR36:AR38)</f>
        <v>1.7668680551737876</v>
      </c>
    </row>
    <row r="37" spans="1:45" x14ac:dyDescent="0.25">
      <c r="A37">
        <v>20</v>
      </c>
      <c r="B37">
        <v>0.76200000000000001</v>
      </c>
      <c r="C37" t="s">
        <v>0</v>
      </c>
      <c r="D37">
        <v>0.67800000000000005</v>
      </c>
      <c r="E37">
        <f t="shared" si="1"/>
        <v>11.023622047244091</v>
      </c>
      <c r="F37">
        <f>AVERAGE(E37:E39)</f>
        <v>11.198600174978123</v>
      </c>
      <c r="G37">
        <f>STDEV(E37:E39)</f>
        <v>0.20046262882571456</v>
      </c>
      <c r="I37">
        <v>10</v>
      </c>
      <c r="J37">
        <v>5.94</v>
      </c>
      <c r="T37">
        <v>10</v>
      </c>
      <c r="U37">
        <v>5.79</v>
      </c>
      <c r="AF37">
        <v>10</v>
      </c>
      <c r="AG37">
        <v>6.1</v>
      </c>
      <c r="AR37">
        <f>(50-5.438)/0.1694</f>
        <v>263.05785123966939</v>
      </c>
    </row>
    <row r="38" spans="1:45" x14ac:dyDescent="0.25">
      <c r="A38">
        <v>20</v>
      </c>
      <c r="B38">
        <v>0.76200000000000001</v>
      </c>
      <c r="C38" t="s">
        <v>1</v>
      </c>
      <c r="D38">
        <v>0.67500000000000004</v>
      </c>
      <c r="E38">
        <f t="shared" si="1"/>
        <v>11.417322834645665</v>
      </c>
      <c r="I38">
        <v>20</v>
      </c>
      <c r="J38">
        <v>11.19</v>
      </c>
      <c r="T38">
        <v>20</v>
      </c>
      <c r="U38">
        <v>10.99</v>
      </c>
      <c r="AF38">
        <v>20</v>
      </c>
      <c r="AG38">
        <v>11.39</v>
      </c>
      <c r="AR38">
        <f>(50-5.8809)/0.17</f>
        <v>259.5241176470588</v>
      </c>
    </row>
    <row r="39" spans="1:45" x14ac:dyDescent="0.25">
      <c r="A39">
        <v>20</v>
      </c>
      <c r="B39">
        <v>0.76200000000000001</v>
      </c>
      <c r="C39" t="s">
        <v>2</v>
      </c>
      <c r="D39">
        <v>0.67700000000000005</v>
      </c>
      <c r="E39">
        <f t="shared" si="1"/>
        <v>11.154855643044614</v>
      </c>
      <c r="I39">
        <v>40</v>
      </c>
      <c r="J39">
        <v>20.73</v>
      </c>
      <c r="T39">
        <v>40</v>
      </c>
      <c r="U39">
        <v>20.38</v>
      </c>
      <c r="AF39">
        <v>40</v>
      </c>
      <c r="AG39">
        <v>21.08</v>
      </c>
    </row>
    <row r="40" spans="1:45" x14ac:dyDescent="0.25">
      <c r="A40">
        <v>40</v>
      </c>
      <c r="B40">
        <v>0.76200000000000001</v>
      </c>
      <c r="C40" t="s">
        <v>0</v>
      </c>
      <c r="D40">
        <v>0.60299999999999998</v>
      </c>
      <c r="E40">
        <f t="shared" si="1"/>
        <v>20.86614173228347</v>
      </c>
      <c r="F40">
        <f>AVERAGE(E40:E42)</f>
        <v>20.734908136482943</v>
      </c>
      <c r="G40">
        <f>STDEV(E40:E42)</f>
        <v>0.34721145814495968</v>
      </c>
      <c r="I40">
        <v>80</v>
      </c>
      <c r="J40">
        <v>24.45</v>
      </c>
      <c r="T40">
        <v>80</v>
      </c>
      <c r="U40">
        <v>24.12</v>
      </c>
      <c r="AF40">
        <v>80</v>
      </c>
      <c r="AG40">
        <v>24.78</v>
      </c>
    </row>
    <row r="41" spans="1:45" x14ac:dyDescent="0.25">
      <c r="A41">
        <v>40</v>
      </c>
      <c r="B41">
        <v>0.76200000000000001</v>
      </c>
      <c r="C41" t="s">
        <v>1</v>
      </c>
      <c r="D41">
        <v>0.60199999999999998</v>
      </c>
      <c r="E41">
        <f t="shared" si="1"/>
        <v>20.997375328083994</v>
      </c>
      <c r="I41">
        <v>160</v>
      </c>
      <c r="J41">
        <v>28.17</v>
      </c>
      <c r="T41">
        <v>160</v>
      </c>
      <c r="U41">
        <v>27.97</v>
      </c>
      <c r="AF41">
        <v>160</v>
      </c>
      <c r="AG41">
        <v>28.37</v>
      </c>
    </row>
    <row r="42" spans="1:45" x14ac:dyDescent="0.25">
      <c r="A42">
        <v>40</v>
      </c>
      <c r="B42">
        <v>0.76200000000000001</v>
      </c>
      <c r="C42" t="s">
        <v>2</v>
      </c>
      <c r="D42">
        <v>0.60699999999999998</v>
      </c>
      <c r="E42">
        <f t="shared" si="1"/>
        <v>20.341207349081369</v>
      </c>
    </row>
    <row r="43" spans="1:45" x14ac:dyDescent="0.25">
      <c r="A43">
        <v>80</v>
      </c>
      <c r="B43">
        <v>0.76200000000000001</v>
      </c>
      <c r="C43" t="s">
        <v>0</v>
      </c>
      <c r="D43">
        <v>0.57599999999999996</v>
      </c>
      <c r="E43">
        <f t="shared" si="1"/>
        <v>24.409448818897644</v>
      </c>
      <c r="F43">
        <f>AVERAGE(E43:E45)</f>
        <v>24.453193350831153</v>
      </c>
      <c r="G43">
        <f>STDEV(E43:E45)</f>
        <v>0.33026397354640197</v>
      </c>
    </row>
    <row r="44" spans="1:45" x14ac:dyDescent="0.25">
      <c r="A44">
        <v>80</v>
      </c>
      <c r="B44">
        <v>0.76200000000000001</v>
      </c>
      <c r="C44" t="s">
        <v>1</v>
      </c>
      <c r="D44">
        <v>0.57299999999999995</v>
      </c>
      <c r="E44">
        <f t="shared" si="1"/>
        <v>24.803149606299218</v>
      </c>
      <c r="I44" t="s">
        <v>17</v>
      </c>
      <c r="J44">
        <f>(50-5.6583)/0.1697</f>
        <v>261.29463759575725</v>
      </c>
      <c r="T44" t="s">
        <v>17</v>
      </c>
      <c r="U44">
        <f>(50-5.438)/0.1694</f>
        <v>263.05785123966939</v>
      </c>
      <c r="AF44" t="s">
        <v>17</v>
      </c>
      <c r="AG44">
        <f>(50-5.8809)/0.17</f>
        <v>259.5241176470588</v>
      </c>
    </row>
    <row r="45" spans="1:45" x14ac:dyDescent="0.25">
      <c r="A45">
        <v>80</v>
      </c>
      <c r="B45">
        <v>0.76200000000000001</v>
      </c>
      <c r="C45" t="s">
        <v>2</v>
      </c>
      <c r="D45">
        <v>0.57799999999999996</v>
      </c>
      <c r="E45">
        <f t="shared" si="1"/>
        <v>24.146981627296594</v>
      </c>
    </row>
    <row r="46" spans="1:45" x14ac:dyDescent="0.25">
      <c r="A46">
        <v>160</v>
      </c>
      <c r="B46">
        <v>0.76200000000000001</v>
      </c>
      <c r="C46" t="s">
        <v>0</v>
      </c>
      <c r="D46">
        <v>0.54700000000000004</v>
      </c>
      <c r="E46">
        <f t="shared" si="1"/>
        <v>28.215223097112858</v>
      </c>
      <c r="F46">
        <f>AVERAGE(E46:E48)</f>
        <v>28.171478565179346</v>
      </c>
      <c r="G46">
        <f>STDEV(E46:E48)</f>
        <v>0.20046262882571303</v>
      </c>
    </row>
    <row r="47" spans="1:45" x14ac:dyDescent="0.25">
      <c r="A47">
        <v>160</v>
      </c>
      <c r="B47">
        <v>0.76200000000000001</v>
      </c>
      <c r="C47" t="s">
        <v>1</v>
      </c>
      <c r="D47">
        <v>0.54900000000000004</v>
      </c>
      <c r="E47">
        <f t="shared" si="1"/>
        <v>27.952755905511808</v>
      </c>
    </row>
    <row r="48" spans="1:45" x14ac:dyDescent="0.25">
      <c r="A48">
        <v>160</v>
      </c>
      <c r="B48">
        <v>0.76200000000000001</v>
      </c>
      <c r="C48" t="s">
        <v>2</v>
      </c>
      <c r="D48">
        <v>0.54600000000000004</v>
      </c>
      <c r="E48">
        <f t="shared" si="1"/>
        <v>28.346456692913378</v>
      </c>
    </row>
    <row r="54" spans="1:46" x14ac:dyDescent="0.25">
      <c r="A54" t="s">
        <v>5</v>
      </c>
      <c r="B54" t="s">
        <v>7</v>
      </c>
      <c r="C54" t="s">
        <v>6</v>
      </c>
      <c r="D54" t="s">
        <v>8</v>
      </c>
      <c r="E54" t="s">
        <v>4</v>
      </c>
      <c r="F54" t="s">
        <v>9</v>
      </c>
      <c r="G54" t="s">
        <v>3</v>
      </c>
    </row>
    <row r="55" spans="1:46" x14ac:dyDescent="0.25">
      <c r="A55">
        <v>2.5</v>
      </c>
      <c r="B55">
        <v>0.76200000000000001</v>
      </c>
      <c r="C55" t="s">
        <v>0</v>
      </c>
      <c r="D55">
        <v>0.754</v>
      </c>
      <c r="E55">
        <f t="shared" ref="E55:E75" si="2">(((B55-D55)/B55)*100)</f>
        <v>1.0498687664042003</v>
      </c>
      <c r="F55">
        <f>AVERAGE(E55:E57)</f>
        <v>0.87489063867016703</v>
      </c>
      <c r="G55">
        <f>STDEV(E55:E57)</f>
        <v>0.20046262882571514</v>
      </c>
    </row>
    <row r="56" spans="1:46" x14ac:dyDescent="0.25">
      <c r="A56">
        <v>2.5</v>
      </c>
      <c r="B56">
        <v>0.76200000000000001</v>
      </c>
      <c r="C56" t="s">
        <v>1</v>
      </c>
      <c r="D56">
        <v>0.75700000000000001</v>
      </c>
      <c r="E56">
        <f t="shared" si="2"/>
        <v>0.65616797900262525</v>
      </c>
    </row>
    <row r="57" spans="1:46" x14ac:dyDescent="0.25">
      <c r="A57">
        <v>2.5</v>
      </c>
      <c r="B57">
        <v>0.76200000000000001</v>
      </c>
      <c r="C57" t="s">
        <v>2</v>
      </c>
      <c r="D57">
        <v>0.755</v>
      </c>
      <c r="E57">
        <f t="shared" si="2"/>
        <v>0.91863517060367539</v>
      </c>
    </row>
    <row r="58" spans="1:46" x14ac:dyDescent="0.25">
      <c r="A58">
        <v>5</v>
      </c>
      <c r="B58">
        <v>0.76200000000000001</v>
      </c>
      <c r="C58" t="s">
        <v>0</v>
      </c>
      <c r="D58">
        <v>0.73599999999999999</v>
      </c>
      <c r="E58">
        <f t="shared" si="2"/>
        <v>3.412073490813651</v>
      </c>
      <c r="F58">
        <f>AVERAGE(E58:E60)</f>
        <v>3.412073490813651</v>
      </c>
      <c r="G58">
        <f>STDEV(E58:E60)</f>
        <v>0.26246719160105014</v>
      </c>
      <c r="I58" s="1" t="s">
        <v>15</v>
      </c>
      <c r="U58" t="s">
        <v>10</v>
      </c>
      <c r="V58" t="s">
        <v>53</v>
      </c>
      <c r="AF58" t="s">
        <v>10</v>
      </c>
      <c r="AG58" t="s">
        <v>54</v>
      </c>
    </row>
    <row r="59" spans="1:46" x14ac:dyDescent="0.25">
      <c r="A59">
        <v>5</v>
      </c>
      <c r="B59">
        <v>0.76200000000000001</v>
      </c>
      <c r="C59" t="s">
        <v>1</v>
      </c>
      <c r="D59">
        <v>0.73399999999999999</v>
      </c>
      <c r="E59">
        <f t="shared" si="2"/>
        <v>3.6745406824147016</v>
      </c>
      <c r="I59" t="s">
        <v>10</v>
      </c>
      <c r="J59" t="s">
        <v>9</v>
      </c>
      <c r="U59">
        <v>2.5</v>
      </c>
      <c r="V59">
        <v>0.67</v>
      </c>
      <c r="AF59">
        <v>2.5</v>
      </c>
      <c r="AG59">
        <v>1.07</v>
      </c>
    </row>
    <row r="60" spans="1:46" x14ac:dyDescent="0.25">
      <c r="A60">
        <v>5</v>
      </c>
      <c r="B60">
        <v>0.76200000000000001</v>
      </c>
      <c r="C60" t="s">
        <v>2</v>
      </c>
      <c r="D60">
        <v>0.73799999999999999</v>
      </c>
      <c r="E60">
        <f t="shared" si="2"/>
        <v>3.1496062992126013</v>
      </c>
      <c r="I60">
        <v>2.5</v>
      </c>
      <c r="J60">
        <v>0.87</v>
      </c>
      <c r="U60">
        <v>5</v>
      </c>
      <c r="V60">
        <v>3.14</v>
      </c>
      <c r="AF60">
        <v>5</v>
      </c>
      <c r="AG60">
        <v>3.67</v>
      </c>
    </row>
    <row r="61" spans="1:46" x14ac:dyDescent="0.25">
      <c r="A61">
        <v>10</v>
      </c>
      <c r="B61">
        <v>0.76200000000000001</v>
      </c>
      <c r="C61" t="s">
        <v>0</v>
      </c>
      <c r="D61">
        <v>0.69699999999999995</v>
      </c>
      <c r="E61">
        <f t="shared" si="2"/>
        <v>8.5301837270341281</v>
      </c>
      <c r="F61">
        <f>AVERAGE(E61:E63)</f>
        <v>8.7051618547681624</v>
      </c>
      <c r="G61">
        <f>STDEV(E61:E63)</f>
        <v>0.20046262882571533</v>
      </c>
      <c r="I61">
        <v>5</v>
      </c>
      <c r="J61">
        <v>3.41</v>
      </c>
      <c r="U61">
        <v>10</v>
      </c>
      <c r="V61">
        <v>8.5</v>
      </c>
      <c r="AF61">
        <v>10</v>
      </c>
      <c r="AG61">
        <v>8.9</v>
      </c>
    </row>
    <row r="62" spans="1:46" x14ac:dyDescent="0.25">
      <c r="A62">
        <v>10</v>
      </c>
      <c r="B62">
        <v>0.76200000000000001</v>
      </c>
      <c r="C62" t="s">
        <v>1</v>
      </c>
      <c r="D62">
        <v>0.69399999999999995</v>
      </c>
      <c r="E62">
        <f t="shared" si="2"/>
        <v>8.923884514435704</v>
      </c>
      <c r="I62">
        <v>10</v>
      </c>
      <c r="J62">
        <v>8.6999999999999993</v>
      </c>
      <c r="U62">
        <v>20</v>
      </c>
      <c r="V62">
        <v>15.24</v>
      </c>
      <c r="AF62">
        <v>20</v>
      </c>
      <c r="AG62">
        <v>15.64</v>
      </c>
      <c r="AS62" t="s">
        <v>55</v>
      </c>
      <c r="AT62" t="s">
        <v>3</v>
      </c>
    </row>
    <row r="63" spans="1:46" x14ac:dyDescent="0.25">
      <c r="A63">
        <v>10</v>
      </c>
      <c r="B63">
        <v>0.76200000000000001</v>
      </c>
      <c r="C63" t="s">
        <v>2</v>
      </c>
      <c r="D63">
        <v>0.69599999999999995</v>
      </c>
      <c r="E63">
        <f t="shared" si="2"/>
        <v>8.6614173228346534</v>
      </c>
      <c r="I63">
        <v>20</v>
      </c>
      <c r="J63">
        <v>15.44</v>
      </c>
      <c r="U63">
        <v>40</v>
      </c>
      <c r="V63">
        <v>21.65</v>
      </c>
      <c r="AF63">
        <v>40</v>
      </c>
      <c r="AG63">
        <v>22.17</v>
      </c>
      <c r="AS63">
        <f>(50-7.3579)/0.1889</f>
        <v>225.73901535203811</v>
      </c>
      <c r="AT63">
        <f>STDEV(AS63:AS65)</f>
        <v>1.0099965310450583</v>
      </c>
    </row>
    <row r="64" spans="1:46" x14ac:dyDescent="0.25">
      <c r="A64">
        <v>20</v>
      </c>
      <c r="B64">
        <v>0.76200000000000001</v>
      </c>
      <c r="C64" t="s">
        <v>0</v>
      </c>
      <c r="D64">
        <v>0.64400000000000002</v>
      </c>
      <c r="E64">
        <f t="shared" si="2"/>
        <v>15.48556430446194</v>
      </c>
      <c r="F64">
        <f>AVERAGE(E64:E66)</f>
        <v>15.441819772528433</v>
      </c>
      <c r="G64">
        <f>STDEV(E64:E66)</f>
        <v>0.20046262882571436</v>
      </c>
      <c r="I64">
        <v>40</v>
      </c>
      <c r="J64">
        <v>21.91</v>
      </c>
      <c r="U64">
        <v>80</v>
      </c>
      <c r="V64">
        <v>28.45</v>
      </c>
      <c r="AF64">
        <v>80</v>
      </c>
      <c r="AG64">
        <v>28.85</v>
      </c>
      <c r="AS64">
        <f>(50-7.1321)/0.1891</f>
        <v>226.69434161819143</v>
      </c>
    </row>
    <row r="65" spans="1:45" x14ac:dyDescent="0.25">
      <c r="A65">
        <v>20</v>
      </c>
      <c r="B65">
        <v>0.76200000000000001</v>
      </c>
      <c r="C65" t="s">
        <v>1</v>
      </c>
      <c r="D65">
        <v>0.64600000000000002</v>
      </c>
      <c r="E65">
        <f t="shared" si="2"/>
        <v>15.223097112860891</v>
      </c>
      <c r="I65">
        <v>80</v>
      </c>
      <c r="J65">
        <v>28.65</v>
      </c>
      <c r="U65">
        <v>160</v>
      </c>
      <c r="V65">
        <v>32.299999999999997</v>
      </c>
      <c r="AF65">
        <v>160</v>
      </c>
      <c r="AG65">
        <v>32.700000000000003</v>
      </c>
      <c r="AS65">
        <f>(50-7.5813)/0.1888</f>
        <v>224.67531779661019</v>
      </c>
    </row>
    <row r="66" spans="1:45" x14ac:dyDescent="0.25">
      <c r="A66">
        <v>20</v>
      </c>
      <c r="B66">
        <v>0.76200000000000001</v>
      </c>
      <c r="C66" t="s">
        <v>2</v>
      </c>
      <c r="D66">
        <v>0.64300000000000002</v>
      </c>
      <c r="E66">
        <f t="shared" si="2"/>
        <v>15.616797900262466</v>
      </c>
      <c r="I66">
        <v>160</v>
      </c>
      <c r="J66">
        <v>32.5</v>
      </c>
    </row>
    <row r="67" spans="1:45" x14ac:dyDescent="0.25">
      <c r="A67">
        <v>40</v>
      </c>
      <c r="B67">
        <v>0.76200000000000001</v>
      </c>
      <c r="C67" t="s">
        <v>0</v>
      </c>
      <c r="D67">
        <v>0.59699999999999998</v>
      </c>
      <c r="E67">
        <f t="shared" si="2"/>
        <v>21.653543307086618</v>
      </c>
      <c r="F67">
        <f>AVERAGE(E67:E69)</f>
        <v>21.916010498687669</v>
      </c>
      <c r="G67">
        <f>STDEV(E67:E69)</f>
        <v>0.26246719160105059</v>
      </c>
    </row>
    <row r="68" spans="1:45" x14ac:dyDescent="0.25">
      <c r="A68">
        <v>40</v>
      </c>
      <c r="B68">
        <v>0.76200000000000001</v>
      </c>
      <c r="C68" t="s">
        <v>1</v>
      </c>
      <c r="D68">
        <v>0.59299999999999997</v>
      </c>
      <c r="E68">
        <f t="shared" si="2"/>
        <v>22.17847769028872</v>
      </c>
      <c r="U68" t="s">
        <v>17</v>
      </c>
      <c r="V68">
        <f>(50-7.1321)/0.1891</f>
        <v>226.69434161819143</v>
      </c>
      <c r="AF68" t="s">
        <v>17</v>
      </c>
      <c r="AG68">
        <f>(50-7.5813)/0.1888</f>
        <v>224.67531779661019</v>
      </c>
    </row>
    <row r="69" spans="1:45" x14ac:dyDescent="0.25">
      <c r="A69">
        <v>40</v>
      </c>
      <c r="B69">
        <v>0.76200000000000001</v>
      </c>
      <c r="C69" t="s">
        <v>2</v>
      </c>
      <c r="D69">
        <v>0.59499999999999997</v>
      </c>
      <c r="E69">
        <f t="shared" si="2"/>
        <v>21.916010498687669</v>
      </c>
      <c r="I69" t="s">
        <v>17</v>
      </c>
      <c r="J69">
        <f>(50-7.3579)/0.1889</f>
        <v>225.73901535203811</v>
      </c>
    </row>
    <row r="70" spans="1:45" x14ac:dyDescent="0.25">
      <c r="A70">
        <v>80</v>
      </c>
      <c r="B70">
        <v>0.76200000000000001</v>
      </c>
      <c r="C70" t="s">
        <v>0</v>
      </c>
      <c r="D70">
        <v>0.54400000000000004</v>
      </c>
      <c r="E70">
        <f t="shared" si="2"/>
        <v>28.608923884514432</v>
      </c>
      <c r="F70">
        <f>AVERAGE(E70:E72)</f>
        <v>28.652668416447941</v>
      </c>
      <c r="G70">
        <f>STDEV(E70:E72)</f>
        <v>0.20046262882571456</v>
      </c>
    </row>
    <row r="71" spans="1:45" x14ac:dyDescent="0.25">
      <c r="A71">
        <v>80</v>
      </c>
      <c r="B71">
        <v>0.76200000000000001</v>
      </c>
      <c r="C71" t="s">
        <v>1</v>
      </c>
      <c r="D71">
        <v>0.54500000000000004</v>
      </c>
      <c r="E71">
        <f t="shared" si="2"/>
        <v>28.477690288713909</v>
      </c>
    </row>
    <row r="72" spans="1:45" x14ac:dyDescent="0.25">
      <c r="A72">
        <v>80</v>
      </c>
      <c r="B72">
        <v>0.76200000000000001</v>
      </c>
      <c r="C72" t="s">
        <v>2</v>
      </c>
      <c r="D72">
        <v>0.54200000000000004</v>
      </c>
      <c r="E72">
        <f t="shared" si="2"/>
        <v>28.871391076115483</v>
      </c>
    </row>
    <row r="73" spans="1:45" x14ac:dyDescent="0.25">
      <c r="A73">
        <v>160</v>
      </c>
      <c r="B73">
        <v>0.76200000000000001</v>
      </c>
      <c r="C73" t="s">
        <v>0</v>
      </c>
      <c r="D73">
        <v>0.51300000000000001</v>
      </c>
      <c r="E73">
        <f t="shared" si="2"/>
        <v>32.677165354330704</v>
      </c>
      <c r="F73">
        <f>AVERAGE(E73:E75)</f>
        <v>32.502187226596675</v>
      </c>
      <c r="G73">
        <f>STDEV(E73:E75)</f>
        <v>0.20046262882571261</v>
      </c>
    </row>
    <row r="74" spans="1:45" x14ac:dyDescent="0.25">
      <c r="A74">
        <v>160</v>
      </c>
      <c r="B74">
        <v>0.76200000000000001</v>
      </c>
      <c r="C74" t="s">
        <v>1</v>
      </c>
      <c r="D74">
        <v>0.51600000000000001</v>
      </c>
      <c r="E74">
        <f t="shared" si="2"/>
        <v>32.283464566929133</v>
      </c>
    </row>
    <row r="75" spans="1:45" x14ac:dyDescent="0.25">
      <c r="A75">
        <v>160</v>
      </c>
      <c r="B75">
        <v>0.76200000000000001</v>
      </c>
      <c r="C75" t="s">
        <v>2</v>
      </c>
      <c r="D75">
        <v>0.51400000000000001</v>
      </c>
      <c r="E75">
        <f t="shared" si="2"/>
        <v>32.54593175853018</v>
      </c>
    </row>
    <row r="81" spans="1:45" x14ac:dyDescent="0.25">
      <c r="A81" t="s">
        <v>5</v>
      </c>
      <c r="B81" t="s">
        <v>7</v>
      </c>
      <c r="C81" t="s">
        <v>6</v>
      </c>
      <c r="D81" t="s">
        <v>8</v>
      </c>
      <c r="E81" t="s">
        <v>4</v>
      </c>
      <c r="F81" t="s">
        <v>9</v>
      </c>
      <c r="G81" t="s">
        <v>3</v>
      </c>
    </row>
    <row r="82" spans="1:45" x14ac:dyDescent="0.25">
      <c r="A82">
        <v>2.5</v>
      </c>
      <c r="B82">
        <v>0.76200000000000001</v>
      </c>
      <c r="C82" t="s">
        <v>0</v>
      </c>
      <c r="D82">
        <v>0.752</v>
      </c>
      <c r="E82">
        <f t="shared" ref="E82:E102" si="3">(((B82-D82)/B82)*100)</f>
        <v>1.3123359580052505</v>
      </c>
      <c r="F82">
        <f>AVERAGE(E82:E84)</f>
        <v>1.3998250218722672</v>
      </c>
      <c r="G82">
        <f>STDEV(E82:E84)</f>
        <v>0.53037426303508917</v>
      </c>
    </row>
    <row r="83" spans="1:45" x14ac:dyDescent="0.25">
      <c r="A83">
        <v>2.5</v>
      </c>
      <c r="B83">
        <v>0.76200000000000001</v>
      </c>
      <c r="C83" t="s">
        <v>1</v>
      </c>
      <c r="D83">
        <v>0.747</v>
      </c>
      <c r="E83">
        <f t="shared" si="3"/>
        <v>1.9685039370078756</v>
      </c>
    </row>
    <row r="84" spans="1:45" x14ac:dyDescent="0.25">
      <c r="A84">
        <v>2.5</v>
      </c>
      <c r="B84">
        <v>0.76200000000000001</v>
      </c>
      <c r="C84" t="s">
        <v>2</v>
      </c>
      <c r="D84">
        <v>0.755</v>
      </c>
      <c r="E84">
        <f t="shared" si="3"/>
        <v>0.91863517060367539</v>
      </c>
    </row>
    <row r="85" spans="1:45" x14ac:dyDescent="0.25">
      <c r="A85">
        <v>5</v>
      </c>
      <c r="B85">
        <v>0.76200000000000001</v>
      </c>
      <c r="C85" t="s">
        <v>0</v>
      </c>
      <c r="D85">
        <v>0.73399999999999999</v>
      </c>
      <c r="E85">
        <f t="shared" si="3"/>
        <v>3.6745406824147016</v>
      </c>
      <c r="F85">
        <f>AVERAGE(E85:E87)</f>
        <v>3.5870516185476844</v>
      </c>
      <c r="G85">
        <f>STDEV(E85:E87)</f>
        <v>0.27318451436563457</v>
      </c>
    </row>
    <row r="86" spans="1:45" x14ac:dyDescent="0.25">
      <c r="A86">
        <v>5</v>
      </c>
      <c r="B86">
        <v>0.76200000000000001</v>
      </c>
      <c r="C86" t="s">
        <v>1</v>
      </c>
      <c r="D86">
        <v>0.73299999999999998</v>
      </c>
      <c r="E86">
        <f t="shared" si="3"/>
        <v>3.8057742782152264</v>
      </c>
    </row>
    <row r="87" spans="1:45" x14ac:dyDescent="0.25">
      <c r="A87">
        <v>5</v>
      </c>
      <c r="B87">
        <v>0.76200000000000001</v>
      </c>
      <c r="C87" t="s">
        <v>2</v>
      </c>
      <c r="D87">
        <v>0.73699999999999999</v>
      </c>
      <c r="E87">
        <f t="shared" si="3"/>
        <v>3.2808398950131261</v>
      </c>
      <c r="I87" s="2" t="s">
        <v>14</v>
      </c>
    </row>
    <row r="88" spans="1:45" x14ac:dyDescent="0.25">
      <c r="A88">
        <v>10</v>
      </c>
      <c r="B88">
        <v>0.76200000000000001</v>
      </c>
      <c r="C88" t="s">
        <v>0</v>
      </c>
      <c r="D88">
        <v>0.68899999999999995</v>
      </c>
      <c r="E88">
        <f t="shared" si="3"/>
        <v>9.5800524934383287</v>
      </c>
      <c r="F88">
        <f>AVERAGE(E88:E90)</f>
        <v>9.8862642169728776</v>
      </c>
      <c r="G88">
        <f>STDEV(E88:E90)</f>
        <v>0.33026397354639547</v>
      </c>
      <c r="I88" t="s">
        <v>10</v>
      </c>
      <c r="J88" t="s">
        <v>9</v>
      </c>
      <c r="T88" t="s">
        <v>10</v>
      </c>
      <c r="U88" t="s">
        <v>53</v>
      </c>
      <c r="AF88" t="s">
        <v>10</v>
      </c>
      <c r="AG88" t="s">
        <v>54</v>
      </c>
    </row>
    <row r="89" spans="1:45" x14ac:dyDescent="0.25">
      <c r="A89">
        <v>10</v>
      </c>
      <c r="B89">
        <v>0.76200000000000001</v>
      </c>
      <c r="C89" t="s">
        <v>1</v>
      </c>
      <c r="D89">
        <v>0.68400000000000005</v>
      </c>
      <c r="E89">
        <f t="shared" si="3"/>
        <v>10.236220472440939</v>
      </c>
      <c r="I89">
        <v>2.5</v>
      </c>
      <c r="J89">
        <v>1.39</v>
      </c>
      <c r="T89">
        <v>2.5</v>
      </c>
      <c r="U89">
        <v>0.86</v>
      </c>
      <c r="AF89">
        <v>2.5</v>
      </c>
      <c r="AG89">
        <v>1.93</v>
      </c>
      <c r="AR89" t="s">
        <v>55</v>
      </c>
      <c r="AS89" t="s">
        <v>3</v>
      </c>
    </row>
    <row r="90" spans="1:45" x14ac:dyDescent="0.25">
      <c r="A90">
        <v>10</v>
      </c>
      <c r="B90">
        <v>0.76200000000000001</v>
      </c>
      <c r="C90" t="s">
        <v>2</v>
      </c>
      <c r="D90">
        <v>0.68700000000000006</v>
      </c>
      <c r="E90">
        <f t="shared" si="3"/>
        <v>9.8425196850393633</v>
      </c>
      <c r="I90">
        <v>5</v>
      </c>
      <c r="J90">
        <v>3.58</v>
      </c>
      <c r="T90">
        <v>5</v>
      </c>
      <c r="U90">
        <v>3.31</v>
      </c>
      <c r="AF90">
        <v>5</v>
      </c>
      <c r="AG90">
        <v>3.86</v>
      </c>
      <c r="AR90">
        <f>(50-6.5764)/0.2974</f>
        <v>146.0107599193006</v>
      </c>
      <c r="AS90">
        <f>STDEV(AR90:AR92)</f>
        <v>0.54154489877631329</v>
      </c>
    </row>
    <row r="91" spans="1:45" x14ac:dyDescent="0.25">
      <c r="A91">
        <v>20</v>
      </c>
      <c r="B91">
        <v>0.76200000000000001</v>
      </c>
      <c r="C91" t="s">
        <v>0</v>
      </c>
      <c r="D91">
        <v>0.63300000000000001</v>
      </c>
      <c r="E91">
        <f t="shared" si="3"/>
        <v>16.929133858267718</v>
      </c>
      <c r="F91">
        <f>AVERAGE(E91:E93)</f>
        <v>16.622922134733159</v>
      </c>
      <c r="G91">
        <f>STDEV(E91:E93)</f>
        <v>0.27318451436563468</v>
      </c>
      <c r="I91">
        <v>10</v>
      </c>
      <c r="J91">
        <v>9.8800000000000008</v>
      </c>
      <c r="T91">
        <v>10</v>
      </c>
      <c r="U91">
        <v>9.5500000000000007</v>
      </c>
      <c r="AF91">
        <v>10</v>
      </c>
      <c r="AG91">
        <v>10.210000000000001</v>
      </c>
      <c r="AR91">
        <f>(50-6.3383)/0.2982</f>
        <v>146.41750503018108</v>
      </c>
    </row>
    <row r="92" spans="1:45" x14ac:dyDescent="0.25">
      <c r="A92">
        <v>20</v>
      </c>
      <c r="B92">
        <v>0.76200000000000001</v>
      </c>
      <c r="C92" t="s">
        <v>1</v>
      </c>
      <c r="D92">
        <v>0.63700000000000001</v>
      </c>
      <c r="E92">
        <f t="shared" si="3"/>
        <v>16.404199475065617</v>
      </c>
      <c r="I92">
        <v>20</v>
      </c>
      <c r="J92">
        <v>16.62</v>
      </c>
      <c r="T92">
        <v>20</v>
      </c>
      <c r="U92">
        <v>16.34</v>
      </c>
      <c r="AF92">
        <v>20</v>
      </c>
      <c r="AG92">
        <v>16.89</v>
      </c>
      <c r="AR92">
        <f>(50-6.9198)/0.2964</f>
        <v>145.34480431848851</v>
      </c>
    </row>
    <row r="93" spans="1:45" x14ac:dyDescent="0.25">
      <c r="A93">
        <v>20</v>
      </c>
      <c r="B93">
        <v>0.76200000000000001</v>
      </c>
      <c r="C93" t="s">
        <v>2</v>
      </c>
      <c r="D93">
        <v>0.63600000000000001</v>
      </c>
      <c r="E93">
        <f t="shared" si="3"/>
        <v>16.535433070866144</v>
      </c>
      <c r="I93">
        <v>40</v>
      </c>
      <c r="J93">
        <v>22</v>
      </c>
      <c r="T93">
        <v>40</v>
      </c>
      <c r="U93">
        <v>22.39</v>
      </c>
      <c r="AF93">
        <v>40</v>
      </c>
      <c r="AG93">
        <v>22.27</v>
      </c>
    </row>
    <row r="94" spans="1:45" x14ac:dyDescent="0.25">
      <c r="A94">
        <v>40</v>
      </c>
      <c r="B94">
        <v>0.76200000000000001</v>
      </c>
      <c r="C94" t="s">
        <v>0</v>
      </c>
      <c r="D94">
        <v>0.59199999999999997</v>
      </c>
      <c r="E94">
        <f t="shared" si="3"/>
        <v>22.309711286089243</v>
      </c>
      <c r="F94">
        <f>AVERAGE(E94:E96)</f>
        <v>22.003499562554683</v>
      </c>
      <c r="G94">
        <f>STDEV(E94:E96)</f>
        <v>0.27318451436563468</v>
      </c>
      <c r="I94">
        <v>80</v>
      </c>
      <c r="J94">
        <v>37.659999999999997</v>
      </c>
      <c r="T94">
        <v>80</v>
      </c>
      <c r="U94">
        <v>37.53</v>
      </c>
      <c r="AF94">
        <v>80</v>
      </c>
      <c r="AG94">
        <v>37.79</v>
      </c>
    </row>
    <row r="95" spans="1:45" x14ac:dyDescent="0.25">
      <c r="A95">
        <v>40</v>
      </c>
      <c r="B95">
        <v>0.76200000000000001</v>
      </c>
      <c r="C95" t="s">
        <v>1</v>
      </c>
      <c r="D95">
        <v>0.59599999999999997</v>
      </c>
      <c r="E95">
        <f t="shared" si="3"/>
        <v>21.784776902887142</v>
      </c>
      <c r="I95">
        <v>160</v>
      </c>
      <c r="J95">
        <v>49.34</v>
      </c>
      <c r="T95">
        <v>160</v>
      </c>
      <c r="U95">
        <v>49.08</v>
      </c>
      <c r="AF95">
        <v>160</v>
      </c>
      <c r="AG95">
        <v>49.6</v>
      </c>
    </row>
    <row r="96" spans="1:45" x14ac:dyDescent="0.25">
      <c r="A96">
        <v>40</v>
      </c>
      <c r="B96">
        <v>0.76200000000000001</v>
      </c>
      <c r="C96" t="s">
        <v>2</v>
      </c>
      <c r="D96">
        <v>0.59499999999999997</v>
      </c>
      <c r="E96">
        <f t="shared" si="3"/>
        <v>21.916010498687669</v>
      </c>
    </row>
    <row r="97" spans="1:33" x14ac:dyDescent="0.25">
      <c r="A97">
        <v>80</v>
      </c>
      <c r="B97">
        <v>0.76200000000000001</v>
      </c>
      <c r="C97" t="s">
        <v>0</v>
      </c>
      <c r="D97">
        <v>0.47599999999999998</v>
      </c>
      <c r="E97">
        <f t="shared" si="3"/>
        <v>37.532808398950138</v>
      </c>
      <c r="F97">
        <f>AVERAGE(E97:E99)</f>
        <v>37.664041994750662</v>
      </c>
      <c r="G97">
        <f>STDEV(E97:E99)</f>
        <v>0.13123359580052352</v>
      </c>
    </row>
    <row r="98" spans="1:33" x14ac:dyDescent="0.25">
      <c r="A98">
        <v>80</v>
      </c>
      <c r="B98">
        <v>0.76200000000000001</v>
      </c>
      <c r="C98" t="s">
        <v>1</v>
      </c>
      <c r="D98">
        <v>0.47499999999999998</v>
      </c>
      <c r="E98">
        <f t="shared" si="3"/>
        <v>37.664041994750654</v>
      </c>
      <c r="I98" t="s">
        <v>17</v>
      </c>
      <c r="J98">
        <f>(50-6.5764)/0.2974</f>
        <v>146.0107599193006</v>
      </c>
      <c r="T98" t="s">
        <v>17</v>
      </c>
      <c r="U98">
        <f>(50-6.3383)/0.2982</f>
        <v>146.41750503018108</v>
      </c>
      <c r="AF98" t="s">
        <v>17</v>
      </c>
      <c r="AG98">
        <f>(50-6.9198)/0.2964</f>
        <v>145.34480431848851</v>
      </c>
    </row>
    <row r="99" spans="1:33" x14ac:dyDescent="0.25">
      <c r="A99">
        <v>80</v>
      </c>
      <c r="B99">
        <v>0.76200000000000001</v>
      </c>
      <c r="C99" t="s">
        <v>2</v>
      </c>
      <c r="D99">
        <v>0.47399999999999998</v>
      </c>
      <c r="E99">
        <f t="shared" si="3"/>
        <v>37.795275590551185</v>
      </c>
    </row>
    <row r="100" spans="1:33" x14ac:dyDescent="0.25">
      <c r="A100">
        <v>160</v>
      </c>
      <c r="B100">
        <v>0.76200000000000001</v>
      </c>
      <c r="C100" t="s">
        <v>0</v>
      </c>
      <c r="D100">
        <v>0.38800000000000001</v>
      </c>
      <c r="E100">
        <f t="shared" si="3"/>
        <v>49.081364829396321</v>
      </c>
      <c r="F100">
        <f>AVERAGE(E100:E102)</f>
        <v>49.343832020997375</v>
      </c>
      <c r="G100">
        <f>STDEV(E100:E102)</f>
        <v>0.26246719160105414</v>
      </c>
    </row>
    <row r="101" spans="1:33" x14ac:dyDescent="0.25">
      <c r="A101">
        <v>160</v>
      </c>
      <c r="B101">
        <v>0.76200000000000001</v>
      </c>
      <c r="C101" t="s">
        <v>1</v>
      </c>
      <c r="D101">
        <v>0.38400000000000001</v>
      </c>
      <c r="E101">
        <f t="shared" si="3"/>
        <v>49.606299212598429</v>
      </c>
    </row>
    <row r="102" spans="1:33" x14ac:dyDescent="0.25">
      <c r="A102">
        <v>160</v>
      </c>
      <c r="B102">
        <v>0.76200000000000001</v>
      </c>
      <c r="C102" t="s">
        <v>2</v>
      </c>
      <c r="D102">
        <v>0.38600000000000001</v>
      </c>
      <c r="E102">
        <f t="shared" si="3"/>
        <v>49.343832020997375</v>
      </c>
    </row>
    <row r="108" spans="1:33" x14ac:dyDescent="0.25">
      <c r="A108" t="s">
        <v>5</v>
      </c>
      <c r="B108" t="s">
        <v>7</v>
      </c>
      <c r="C108" t="s">
        <v>6</v>
      </c>
      <c r="D108" t="s">
        <v>8</v>
      </c>
      <c r="E108" t="s">
        <v>4</v>
      </c>
      <c r="F108" t="s">
        <v>9</v>
      </c>
      <c r="G108" t="s">
        <v>3</v>
      </c>
    </row>
    <row r="109" spans="1:33" x14ac:dyDescent="0.25">
      <c r="A109">
        <v>2.5</v>
      </c>
      <c r="B109">
        <v>0.76200000000000001</v>
      </c>
      <c r="C109" t="s">
        <v>0</v>
      </c>
      <c r="D109">
        <v>0.749</v>
      </c>
      <c r="E109">
        <f t="shared" ref="E109:E129" si="4">(((B109-D109)/B109)*100)</f>
        <v>1.7060367454068255</v>
      </c>
      <c r="F109">
        <f>AVERAGE(E109:E110)</f>
        <v>1.7716535433070881</v>
      </c>
      <c r="G109">
        <f>STDEV(E109:E111)</f>
        <v>0.9493672097205037</v>
      </c>
    </row>
    <row r="110" spans="1:33" x14ac:dyDescent="0.25">
      <c r="A110">
        <v>2.5</v>
      </c>
      <c r="B110">
        <v>0.76200000000000001</v>
      </c>
      <c r="C110" t="s">
        <v>1</v>
      </c>
      <c r="D110">
        <v>0.748</v>
      </c>
      <c r="E110">
        <f t="shared" si="4"/>
        <v>1.8372703412073508</v>
      </c>
    </row>
    <row r="111" spans="1:33" x14ac:dyDescent="0.25">
      <c r="A111">
        <v>2.5</v>
      </c>
      <c r="B111">
        <v>0.76200000000000001</v>
      </c>
      <c r="C111" t="s">
        <v>2</v>
      </c>
      <c r="D111">
        <v>0.73599999999999999</v>
      </c>
      <c r="E111">
        <f t="shared" si="4"/>
        <v>3.412073490813651</v>
      </c>
    </row>
    <row r="112" spans="1:33" x14ac:dyDescent="0.25">
      <c r="A112">
        <v>5</v>
      </c>
      <c r="B112">
        <v>0.76200000000000001</v>
      </c>
      <c r="C112" t="s">
        <v>0</v>
      </c>
      <c r="D112">
        <v>0.72599999999999998</v>
      </c>
      <c r="E112">
        <f t="shared" si="4"/>
        <v>4.7244094488189017</v>
      </c>
      <c r="F112">
        <f>AVERAGE(E112:E114)</f>
        <v>5.4243219597550345</v>
      </c>
      <c r="G112">
        <f>STDEV(E112:E114)</f>
        <v>0.80185051530286278</v>
      </c>
    </row>
    <row r="113" spans="1:45" x14ac:dyDescent="0.25">
      <c r="A113">
        <v>5</v>
      </c>
      <c r="B113">
        <v>0.76200000000000001</v>
      </c>
      <c r="C113" t="s">
        <v>1</v>
      </c>
      <c r="D113">
        <v>0.71399999999999997</v>
      </c>
      <c r="E113">
        <f t="shared" si="4"/>
        <v>6.2992125984252025</v>
      </c>
    </row>
    <row r="114" spans="1:45" x14ac:dyDescent="0.25">
      <c r="A114">
        <v>5</v>
      </c>
      <c r="B114">
        <v>0.76200000000000001</v>
      </c>
      <c r="C114" t="s">
        <v>2</v>
      </c>
      <c r="D114">
        <v>0.72199999999999998</v>
      </c>
      <c r="E114">
        <f t="shared" si="4"/>
        <v>5.249343832021002</v>
      </c>
      <c r="I114" s="2" t="s">
        <v>13</v>
      </c>
    </row>
    <row r="115" spans="1:45" x14ac:dyDescent="0.25">
      <c r="A115">
        <v>10</v>
      </c>
      <c r="B115">
        <v>0.76200000000000001</v>
      </c>
      <c r="C115" t="s">
        <v>0</v>
      </c>
      <c r="D115">
        <v>0.66300000000000003</v>
      </c>
      <c r="E115">
        <f t="shared" si="4"/>
        <v>12.992125984251965</v>
      </c>
      <c r="F115">
        <f>AVERAGE(E115:E117)</f>
        <v>12.685914260717405</v>
      </c>
      <c r="G115">
        <f>STDEV(E115:E117)</f>
        <v>0.33026397354640208</v>
      </c>
      <c r="I115" t="s">
        <v>10</v>
      </c>
      <c r="J115" t="s">
        <v>9</v>
      </c>
      <c r="T115" t="s">
        <v>10</v>
      </c>
      <c r="U115" t="s">
        <v>53</v>
      </c>
      <c r="AF115" t="s">
        <v>10</v>
      </c>
      <c r="AG115" t="s">
        <v>54</v>
      </c>
    </row>
    <row r="116" spans="1:45" x14ac:dyDescent="0.25">
      <c r="A116">
        <v>10</v>
      </c>
      <c r="B116">
        <v>0.76200000000000001</v>
      </c>
      <c r="C116" t="s">
        <v>1</v>
      </c>
      <c r="D116">
        <v>0.66800000000000004</v>
      </c>
      <c r="E116">
        <f t="shared" si="4"/>
        <v>12.33595800524934</v>
      </c>
      <c r="I116">
        <v>2.5</v>
      </c>
      <c r="J116">
        <v>1.77</v>
      </c>
      <c r="T116">
        <v>2.5</v>
      </c>
      <c r="U116">
        <v>0.82</v>
      </c>
      <c r="AF116">
        <v>2.5</v>
      </c>
      <c r="AG116">
        <v>2.72</v>
      </c>
      <c r="AR116" t="s">
        <v>55</v>
      </c>
      <c r="AS116" t="s">
        <v>3</v>
      </c>
    </row>
    <row r="117" spans="1:45" x14ac:dyDescent="0.25">
      <c r="A117">
        <v>10</v>
      </c>
      <c r="B117">
        <v>0.76200000000000001</v>
      </c>
      <c r="C117" t="s">
        <v>2</v>
      </c>
      <c r="D117">
        <v>0.66500000000000004</v>
      </c>
      <c r="E117">
        <f t="shared" si="4"/>
        <v>12.729658792650916</v>
      </c>
      <c r="I117">
        <v>5</v>
      </c>
      <c r="J117">
        <v>5.42</v>
      </c>
      <c r="T117">
        <v>5</v>
      </c>
      <c r="U117">
        <v>4.62</v>
      </c>
      <c r="AF117">
        <v>5</v>
      </c>
      <c r="AG117">
        <v>6.22</v>
      </c>
      <c r="AR117">
        <f>(50-12.057)/0.2336</f>
        <v>162.42722602739724</v>
      </c>
      <c r="AS117">
        <f>STDEV(AR117:AR119)</f>
        <v>0.49260749517051733</v>
      </c>
    </row>
    <row r="118" spans="1:45" x14ac:dyDescent="0.25">
      <c r="A118">
        <v>20</v>
      </c>
      <c r="B118">
        <v>0.76200000000000001</v>
      </c>
      <c r="C118" t="s">
        <v>0</v>
      </c>
      <c r="D118">
        <v>0.58799999999999997</v>
      </c>
      <c r="E118">
        <f t="shared" si="4"/>
        <v>22.834645669291344</v>
      </c>
      <c r="F118">
        <f>AVERAGE(E118:E120)</f>
        <v>23.053368328958886</v>
      </c>
      <c r="G118">
        <f>STDEV(E118:E120)</f>
        <v>0.20046262882571456</v>
      </c>
      <c r="I118">
        <v>10</v>
      </c>
      <c r="J118">
        <v>12.68</v>
      </c>
      <c r="T118">
        <v>10</v>
      </c>
      <c r="U118">
        <v>12.35</v>
      </c>
      <c r="AF118">
        <v>10</v>
      </c>
      <c r="AG118">
        <v>13.01</v>
      </c>
      <c r="AR118">
        <f>(50-11.513)/0.2362</f>
        <v>162.94242167654531</v>
      </c>
    </row>
    <row r="119" spans="1:45" x14ac:dyDescent="0.25">
      <c r="A119">
        <v>20</v>
      </c>
      <c r="B119">
        <v>0.76200000000000001</v>
      </c>
      <c r="C119" t="s">
        <v>1</v>
      </c>
      <c r="D119">
        <v>0.58499999999999996</v>
      </c>
      <c r="E119">
        <f t="shared" si="4"/>
        <v>23.228346456692918</v>
      </c>
      <c r="I119">
        <v>20</v>
      </c>
      <c r="J119">
        <v>23.05</v>
      </c>
      <c r="T119">
        <v>20</v>
      </c>
      <c r="U119">
        <v>22.85</v>
      </c>
      <c r="AF119">
        <v>20</v>
      </c>
      <c r="AG119">
        <v>23.25</v>
      </c>
      <c r="AR119">
        <f>(50-12.604)/0.2309</f>
        <v>161.957557384149</v>
      </c>
    </row>
    <row r="120" spans="1:45" x14ac:dyDescent="0.25">
      <c r="A120">
        <v>20</v>
      </c>
      <c r="B120">
        <v>0.76200000000000001</v>
      </c>
      <c r="C120" t="s">
        <v>2</v>
      </c>
      <c r="D120">
        <v>0.58599999999999997</v>
      </c>
      <c r="E120">
        <f t="shared" si="4"/>
        <v>23.097112860892395</v>
      </c>
      <c r="I120">
        <v>40</v>
      </c>
      <c r="J120">
        <v>34.950000000000003</v>
      </c>
      <c r="T120">
        <v>40</v>
      </c>
      <c r="U120">
        <v>34.75</v>
      </c>
      <c r="AF120">
        <v>40</v>
      </c>
      <c r="AG120">
        <v>35.15</v>
      </c>
    </row>
    <row r="121" spans="1:45" x14ac:dyDescent="0.25">
      <c r="A121">
        <v>40</v>
      </c>
      <c r="B121">
        <v>0.76200000000000001</v>
      </c>
      <c r="C121" t="s">
        <v>0</v>
      </c>
      <c r="D121">
        <v>0.49399999999999999</v>
      </c>
      <c r="E121">
        <f t="shared" si="4"/>
        <v>35.170603674540686</v>
      </c>
      <c r="F121">
        <f>AVERAGE(E121:E123)</f>
        <v>34.951881014873145</v>
      </c>
      <c r="G121">
        <f>STDEV(E121:E123)</f>
        <v>0.2004626288257165</v>
      </c>
      <c r="I121">
        <v>80</v>
      </c>
      <c r="J121">
        <v>39.1</v>
      </c>
      <c r="T121">
        <v>80</v>
      </c>
      <c r="U121">
        <v>38.880000000000003</v>
      </c>
      <c r="AF121">
        <v>80</v>
      </c>
      <c r="AG121">
        <v>39.33</v>
      </c>
    </row>
    <row r="122" spans="1:45" x14ac:dyDescent="0.25">
      <c r="A122">
        <v>40</v>
      </c>
      <c r="B122">
        <v>0.76200000000000001</v>
      </c>
      <c r="C122" t="s">
        <v>1</v>
      </c>
      <c r="D122">
        <v>0.497</v>
      </c>
      <c r="E122">
        <f t="shared" si="4"/>
        <v>34.776902887139109</v>
      </c>
      <c r="I122">
        <v>160</v>
      </c>
      <c r="J122">
        <v>41.6</v>
      </c>
      <c r="T122">
        <v>160</v>
      </c>
      <c r="U122">
        <v>41.33</v>
      </c>
      <c r="AF122">
        <v>160</v>
      </c>
      <c r="AG122">
        <v>41.86</v>
      </c>
    </row>
    <row r="123" spans="1:45" x14ac:dyDescent="0.25">
      <c r="A123">
        <v>40</v>
      </c>
      <c r="B123">
        <v>0.76200000000000001</v>
      </c>
      <c r="C123" t="s">
        <v>2</v>
      </c>
      <c r="D123">
        <v>0.496</v>
      </c>
      <c r="E123">
        <f t="shared" si="4"/>
        <v>34.908136482939632</v>
      </c>
    </row>
    <row r="124" spans="1:45" x14ac:dyDescent="0.25">
      <c r="A124">
        <v>80</v>
      </c>
      <c r="B124">
        <v>0.76200000000000001</v>
      </c>
      <c r="C124" t="s">
        <v>0</v>
      </c>
      <c r="D124">
        <v>0.46300000000000002</v>
      </c>
      <c r="E124">
        <f t="shared" si="4"/>
        <v>39.238845144356951</v>
      </c>
      <c r="F124">
        <f>AVERAGE(E124:E126)</f>
        <v>39.107611548556427</v>
      </c>
      <c r="G124">
        <f>STDEV(E124:E126)</f>
        <v>0.22730325558646439</v>
      </c>
    </row>
    <row r="125" spans="1:45" x14ac:dyDescent="0.25">
      <c r="A125">
        <v>80</v>
      </c>
      <c r="B125">
        <v>0.76200000000000001</v>
      </c>
      <c r="C125" t="s">
        <v>1</v>
      </c>
      <c r="D125">
        <v>0.46600000000000003</v>
      </c>
      <c r="E125">
        <f t="shared" si="4"/>
        <v>38.84514435695538</v>
      </c>
      <c r="I125" t="s">
        <v>17</v>
      </c>
      <c r="J125">
        <f>(50-12.057)/0.2336</f>
        <v>162.42722602739724</v>
      </c>
      <c r="T125" t="s">
        <v>17</v>
      </c>
      <c r="U125">
        <f>(50-11.513)/0.2362</f>
        <v>162.94242167654531</v>
      </c>
      <c r="AF125" t="s">
        <v>17</v>
      </c>
      <c r="AG125">
        <f>(50-12.604)/0.2309</f>
        <v>161.957557384149</v>
      </c>
    </row>
    <row r="126" spans="1:45" x14ac:dyDescent="0.25">
      <c r="A126">
        <v>80</v>
      </c>
      <c r="B126">
        <v>0.76200000000000001</v>
      </c>
      <c r="C126" t="s">
        <v>2</v>
      </c>
      <c r="D126">
        <v>0.46300000000000002</v>
      </c>
      <c r="E126">
        <f t="shared" si="4"/>
        <v>39.238845144356951</v>
      </c>
    </row>
    <row r="127" spans="1:45" x14ac:dyDescent="0.25">
      <c r="A127">
        <v>160</v>
      </c>
      <c r="B127">
        <v>0.76200000000000001</v>
      </c>
      <c r="C127" t="s">
        <v>0</v>
      </c>
      <c r="D127">
        <v>0.443</v>
      </c>
      <c r="E127">
        <f t="shared" si="4"/>
        <v>41.863517060367457</v>
      </c>
      <c r="F127">
        <f>AVERAGE(E127:E129)</f>
        <v>41.60104986876641</v>
      </c>
      <c r="G127">
        <f>STDEV(E127:E129)</f>
        <v>0.26246719160105059</v>
      </c>
    </row>
    <row r="128" spans="1:45" x14ac:dyDescent="0.25">
      <c r="A128">
        <v>160</v>
      </c>
      <c r="B128">
        <v>0.76200000000000001</v>
      </c>
      <c r="C128" t="s">
        <v>1</v>
      </c>
      <c r="D128">
        <v>0.44700000000000001</v>
      </c>
      <c r="E128">
        <f t="shared" si="4"/>
        <v>41.338582677165356</v>
      </c>
    </row>
    <row r="129" spans="1:45" x14ac:dyDescent="0.25">
      <c r="A129">
        <v>160</v>
      </c>
      <c r="B129">
        <v>0.76200000000000001</v>
      </c>
      <c r="C129" t="s">
        <v>2</v>
      </c>
      <c r="D129">
        <v>0.44500000000000001</v>
      </c>
      <c r="E129">
        <f t="shared" si="4"/>
        <v>41.601049868766403</v>
      </c>
    </row>
    <row r="137" spans="1:45" x14ac:dyDescent="0.25">
      <c r="A137" t="s">
        <v>5</v>
      </c>
      <c r="B137" t="s">
        <v>7</v>
      </c>
      <c r="C137" t="s">
        <v>6</v>
      </c>
      <c r="D137" t="s">
        <v>8</v>
      </c>
      <c r="E137" t="s">
        <v>4</v>
      </c>
      <c r="F137" t="s">
        <v>9</v>
      </c>
      <c r="G137" t="s">
        <v>3</v>
      </c>
    </row>
    <row r="138" spans="1:45" x14ac:dyDescent="0.25">
      <c r="A138">
        <v>2.5</v>
      </c>
      <c r="B138">
        <v>0.76200000000000001</v>
      </c>
      <c r="C138" t="s">
        <v>0</v>
      </c>
      <c r="D138">
        <v>0.755</v>
      </c>
      <c r="E138">
        <f t="shared" ref="E138:E158" si="5">(((B138-D138)/B138)*100)</f>
        <v>0.91863517060367539</v>
      </c>
      <c r="F138">
        <f>AVERAGE(E138:E140)</f>
        <v>1.3560804899387586</v>
      </c>
      <c r="G138">
        <f>STDEV(E138:E140)</f>
        <v>0.99368474992130851</v>
      </c>
    </row>
    <row r="139" spans="1:45" x14ac:dyDescent="0.25">
      <c r="A139">
        <v>2.5</v>
      </c>
      <c r="B139">
        <v>0.76200000000000001</v>
      </c>
      <c r="C139" t="s">
        <v>1</v>
      </c>
      <c r="D139">
        <v>0.75700000000000001</v>
      </c>
      <c r="E139">
        <f t="shared" si="5"/>
        <v>0.65616797900262525</v>
      </c>
    </row>
    <row r="140" spans="1:45" x14ac:dyDescent="0.25">
      <c r="A140">
        <v>2.5</v>
      </c>
      <c r="B140">
        <v>0.76200000000000001</v>
      </c>
      <c r="C140" t="s">
        <v>2</v>
      </c>
      <c r="D140">
        <v>0.74299999999999999</v>
      </c>
      <c r="E140">
        <f t="shared" si="5"/>
        <v>2.4934383202099757</v>
      </c>
    </row>
    <row r="141" spans="1:45" x14ac:dyDescent="0.25">
      <c r="A141">
        <v>5</v>
      </c>
      <c r="B141">
        <v>0.76200000000000001</v>
      </c>
      <c r="C141" t="s">
        <v>0</v>
      </c>
      <c r="D141">
        <v>0.72599999999999998</v>
      </c>
      <c r="E141">
        <f t="shared" si="5"/>
        <v>4.7244094488189017</v>
      </c>
      <c r="F141">
        <f>AVERAGE(E141:E143)</f>
        <v>4.9868766404199514</v>
      </c>
      <c r="G141">
        <f>STDEV(E141:E143)</f>
        <v>0.26246719160105014</v>
      </c>
    </row>
    <row r="142" spans="1:45" x14ac:dyDescent="0.25">
      <c r="A142">
        <v>5</v>
      </c>
      <c r="B142">
        <v>0.76200000000000001</v>
      </c>
      <c r="C142" t="s">
        <v>1</v>
      </c>
      <c r="D142">
        <v>0.72199999999999998</v>
      </c>
      <c r="E142">
        <f t="shared" si="5"/>
        <v>5.249343832021002</v>
      </c>
      <c r="I142" s="2" t="s">
        <v>12</v>
      </c>
    </row>
    <row r="143" spans="1:45" x14ac:dyDescent="0.25">
      <c r="A143">
        <v>5</v>
      </c>
      <c r="B143">
        <v>0.76200000000000001</v>
      </c>
      <c r="C143" t="s">
        <v>2</v>
      </c>
      <c r="D143">
        <v>0.72399999999999998</v>
      </c>
      <c r="E143">
        <f t="shared" si="5"/>
        <v>4.9868766404199514</v>
      </c>
      <c r="I143" t="s">
        <v>10</v>
      </c>
      <c r="J143" t="s">
        <v>9</v>
      </c>
      <c r="T143" t="s">
        <v>10</v>
      </c>
      <c r="U143" t="s">
        <v>53</v>
      </c>
      <c r="AF143" t="s">
        <v>10</v>
      </c>
      <c r="AG143" t="s">
        <v>54</v>
      </c>
    </row>
    <row r="144" spans="1:45" x14ac:dyDescent="0.25">
      <c r="A144">
        <v>10</v>
      </c>
      <c r="B144">
        <v>0.76200000000000001</v>
      </c>
      <c r="C144" t="s">
        <v>0</v>
      </c>
      <c r="D144">
        <v>0.68300000000000005</v>
      </c>
      <c r="E144">
        <f t="shared" si="5"/>
        <v>10.367454068241464</v>
      </c>
      <c r="F144">
        <f>AVERAGE(E144:E146)</f>
        <v>10.323709536307957</v>
      </c>
      <c r="G144">
        <f>STDEV(E144:E146)</f>
        <v>0.20046262882571533</v>
      </c>
      <c r="I144">
        <v>2.5</v>
      </c>
      <c r="J144">
        <v>1.35</v>
      </c>
      <c r="T144">
        <v>2.5</v>
      </c>
      <c r="U144">
        <v>0.36</v>
      </c>
      <c r="AF144">
        <v>2.5</v>
      </c>
      <c r="AG144">
        <v>2.34</v>
      </c>
      <c r="AR144" t="s">
        <v>55</v>
      </c>
      <c r="AS144" t="s">
        <v>3</v>
      </c>
    </row>
    <row r="145" spans="1:45" x14ac:dyDescent="0.25">
      <c r="A145">
        <v>10</v>
      </c>
      <c r="B145">
        <v>0.76200000000000001</v>
      </c>
      <c r="C145" t="s">
        <v>1</v>
      </c>
      <c r="D145">
        <v>0.68500000000000005</v>
      </c>
      <c r="E145">
        <f t="shared" si="5"/>
        <v>10.104986876640414</v>
      </c>
      <c r="I145">
        <v>5</v>
      </c>
      <c r="J145">
        <v>4.9800000000000004</v>
      </c>
      <c r="L145" t="s">
        <v>16</v>
      </c>
      <c r="T145">
        <v>5</v>
      </c>
      <c r="U145">
        <v>4.72</v>
      </c>
      <c r="AF145">
        <v>5</v>
      </c>
      <c r="AG145">
        <v>5.24</v>
      </c>
      <c r="AR145">
        <f>(50-9.0274)/0.2</f>
        <v>204.863</v>
      </c>
      <c r="AS145">
        <f>STDEV(AR145:AR147)</f>
        <v>0.12828512789391366</v>
      </c>
    </row>
    <row r="146" spans="1:45" x14ac:dyDescent="0.25">
      <c r="A146">
        <v>10</v>
      </c>
      <c r="B146">
        <v>0.76200000000000001</v>
      </c>
      <c r="C146" t="s">
        <v>2</v>
      </c>
      <c r="D146">
        <v>0.68200000000000005</v>
      </c>
      <c r="E146">
        <f t="shared" si="5"/>
        <v>10.49868766404199</v>
      </c>
      <c r="I146">
        <v>10</v>
      </c>
      <c r="J146">
        <v>10.32</v>
      </c>
      <c r="T146">
        <v>10</v>
      </c>
      <c r="U146">
        <v>10.119999999999999</v>
      </c>
      <c r="AF146">
        <v>10</v>
      </c>
      <c r="AG146">
        <v>10.52</v>
      </c>
      <c r="AR146">
        <f>(50-8.6117)/0.2019</f>
        <v>204.99405646359585</v>
      </c>
    </row>
    <row r="147" spans="1:45" x14ac:dyDescent="0.25">
      <c r="A147">
        <v>20</v>
      </c>
      <c r="B147">
        <v>0.76200000000000001</v>
      </c>
      <c r="C147" t="s">
        <v>0</v>
      </c>
      <c r="D147">
        <v>0.61699999999999999</v>
      </c>
      <c r="E147">
        <f t="shared" si="5"/>
        <v>19.02887139107612</v>
      </c>
      <c r="F147">
        <f>AVERAGE(E147:E149)</f>
        <v>19.247594050743661</v>
      </c>
      <c r="G147">
        <f>STDEV(E147:E149)</f>
        <v>0.2004626288257142</v>
      </c>
      <c r="I147">
        <v>20</v>
      </c>
      <c r="J147">
        <v>19.239999999999998</v>
      </c>
      <c r="T147">
        <v>20</v>
      </c>
      <c r="U147">
        <v>19.04</v>
      </c>
      <c r="AF147">
        <v>20</v>
      </c>
      <c r="AG147">
        <v>19.440000000000001</v>
      </c>
      <c r="AR147">
        <f>(50-9.4415)/0.1981</f>
        <v>204.73750630994448</v>
      </c>
    </row>
    <row r="148" spans="1:45" x14ac:dyDescent="0.25">
      <c r="A148">
        <v>20</v>
      </c>
      <c r="B148">
        <v>0.76200000000000001</v>
      </c>
      <c r="C148" t="s">
        <v>1</v>
      </c>
      <c r="D148">
        <v>0.61399999999999999</v>
      </c>
      <c r="E148">
        <f t="shared" si="5"/>
        <v>19.422572178477694</v>
      </c>
      <c r="I148">
        <v>40</v>
      </c>
      <c r="J148">
        <v>24.54</v>
      </c>
      <c r="T148">
        <v>40</v>
      </c>
      <c r="U148">
        <v>24.27</v>
      </c>
      <c r="AF148">
        <v>40</v>
      </c>
      <c r="AG148">
        <v>24.8</v>
      </c>
    </row>
    <row r="149" spans="1:45" x14ac:dyDescent="0.25">
      <c r="A149">
        <v>20</v>
      </c>
      <c r="B149">
        <v>0.76200000000000001</v>
      </c>
      <c r="C149" t="s">
        <v>2</v>
      </c>
      <c r="D149">
        <v>0.61499999999999999</v>
      </c>
      <c r="E149">
        <f t="shared" si="5"/>
        <v>19.291338582677167</v>
      </c>
      <c r="I149">
        <v>80</v>
      </c>
      <c r="J149">
        <v>30.09</v>
      </c>
      <c r="T149">
        <v>80</v>
      </c>
      <c r="U149">
        <v>29.89</v>
      </c>
      <c r="AF149">
        <v>80</v>
      </c>
      <c r="AG149">
        <v>30.29</v>
      </c>
    </row>
    <row r="150" spans="1:45" x14ac:dyDescent="0.25">
      <c r="A150">
        <v>40</v>
      </c>
      <c r="B150">
        <v>0.76200000000000001</v>
      </c>
      <c r="C150" t="s">
        <v>0</v>
      </c>
      <c r="D150">
        <v>0.57499999999999996</v>
      </c>
      <c r="E150">
        <f t="shared" si="5"/>
        <v>24.540682414698171</v>
      </c>
      <c r="F150">
        <f>AVERAGE(E150:E152)</f>
        <v>24.540682414698168</v>
      </c>
      <c r="G150">
        <f>STDEV(E150:E152)</f>
        <v>0.26246719160105059</v>
      </c>
      <c r="I150">
        <v>160</v>
      </c>
      <c r="J150">
        <v>36.17</v>
      </c>
      <c r="T150">
        <v>160</v>
      </c>
      <c r="U150">
        <v>35.97</v>
      </c>
      <c r="AF150">
        <v>160</v>
      </c>
      <c r="AG150">
        <v>36.369999999999997</v>
      </c>
    </row>
    <row r="151" spans="1:45" x14ac:dyDescent="0.25">
      <c r="A151">
        <v>40</v>
      </c>
      <c r="B151">
        <v>0.76200000000000001</v>
      </c>
      <c r="C151" t="s">
        <v>1</v>
      </c>
      <c r="D151">
        <v>0.57699999999999996</v>
      </c>
      <c r="E151">
        <f t="shared" si="5"/>
        <v>24.278215223097117</v>
      </c>
    </row>
    <row r="152" spans="1:45" x14ac:dyDescent="0.25">
      <c r="A152">
        <v>40</v>
      </c>
      <c r="B152">
        <v>0.76200000000000001</v>
      </c>
      <c r="C152" t="s">
        <v>2</v>
      </c>
      <c r="D152">
        <v>0.57299999999999995</v>
      </c>
      <c r="E152">
        <f t="shared" si="5"/>
        <v>24.803149606299218</v>
      </c>
    </row>
    <row r="153" spans="1:45" x14ac:dyDescent="0.25">
      <c r="A153">
        <v>80</v>
      </c>
      <c r="B153">
        <v>0.76200000000000001</v>
      </c>
      <c r="C153" t="s">
        <v>0</v>
      </c>
      <c r="D153">
        <v>0.53300000000000003</v>
      </c>
      <c r="E153">
        <f t="shared" si="5"/>
        <v>30.052493438320205</v>
      </c>
      <c r="F153">
        <f>AVERAGE(E153:E155)</f>
        <v>30.096237970253714</v>
      </c>
      <c r="G153">
        <f>STDEV(E153:E155)</f>
        <v>0.20046262882571456</v>
      </c>
      <c r="I153" t="s">
        <v>17</v>
      </c>
      <c r="J153">
        <f>(50-9.0274)/0.2</f>
        <v>204.863</v>
      </c>
      <c r="T153" t="s">
        <v>17</v>
      </c>
      <c r="U153">
        <f>(50-8.6117)/0.2019</f>
        <v>204.99405646359585</v>
      </c>
      <c r="AF153" t="s">
        <v>17</v>
      </c>
      <c r="AG153">
        <f>(50-9.4415)/0.1981</f>
        <v>204.73750630994448</v>
      </c>
    </row>
    <row r="154" spans="1:45" x14ac:dyDescent="0.25">
      <c r="A154">
        <v>80</v>
      </c>
      <c r="B154">
        <v>0.76200000000000001</v>
      </c>
      <c r="C154" t="s">
        <v>1</v>
      </c>
      <c r="D154">
        <v>0.53100000000000003</v>
      </c>
      <c r="E154">
        <f t="shared" si="5"/>
        <v>30.314960629921256</v>
      </c>
    </row>
    <row r="155" spans="1:45" x14ac:dyDescent="0.25">
      <c r="A155">
        <v>80</v>
      </c>
      <c r="B155">
        <v>0.76200000000000001</v>
      </c>
      <c r="C155" t="s">
        <v>2</v>
      </c>
      <c r="D155">
        <v>0.53400000000000003</v>
      </c>
      <c r="E155">
        <f t="shared" si="5"/>
        <v>29.921259842519682</v>
      </c>
    </row>
    <row r="156" spans="1:45" x14ac:dyDescent="0.25">
      <c r="A156">
        <v>160</v>
      </c>
      <c r="B156">
        <v>0.76200000000000001</v>
      </c>
      <c r="C156" t="s">
        <v>0</v>
      </c>
      <c r="D156">
        <v>0.48799999999999999</v>
      </c>
      <c r="E156">
        <f t="shared" si="5"/>
        <v>35.958005249343834</v>
      </c>
      <c r="F156">
        <f>AVERAGE(E156:E158)</f>
        <v>36.176727909011369</v>
      </c>
      <c r="G156">
        <f>STDEV(E156:E158)</f>
        <v>0.20046262882571261</v>
      </c>
    </row>
    <row r="157" spans="1:45" x14ac:dyDescent="0.25">
      <c r="A157">
        <v>160</v>
      </c>
      <c r="B157">
        <v>0.76200000000000001</v>
      </c>
      <c r="C157" t="s">
        <v>1</v>
      </c>
      <c r="D157">
        <v>0.48599999999999999</v>
      </c>
      <c r="E157">
        <f t="shared" si="5"/>
        <v>36.220472440944881</v>
      </c>
    </row>
    <row r="158" spans="1:45" x14ac:dyDescent="0.25">
      <c r="A158">
        <v>160</v>
      </c>
      <c r="B158">
        <v>0.76200000000000001</v>
      </c>
      <c r="C158" t="s">
        <v>2</v>
      </c>
      <c r="D158">
        <v>0.48499999999999999</v>
      </c>
      <c r="E158">
        <f t="shared" si="5"/>
        <v>36.351706036745405</v>
      </c>
    </row>
    <row r="163" spans="3:4" x14ac:dyDescent="0.25">
      <c r="C163" t="s">
        <v>21</v>
      </c>
    </row>
    <row r="164" spans="3:4" x14ac:dyDescent="0.25">
      <c r="C164" t="s">
        <v>32</v>
      </c>
    </row>
    <row r="165" spans="3:4" x14ac:dyDescent="0.25">
      <c r="D165">
        <v>0.74199999999999999</v>
      </c>
    </row>
    <row r="166" spans="3:4" x14ac:dyDescent="0.25">
      <c r="D166">
        <v>0.75800000000000001</v>
      </c>
    </row>
    <row r="167" spans="3:4" x14ac:dyDescent="0.25">
      <c r="D167">
        <v>0.78700000000000003</v>
      </c>
    </row>
    <row r="168" spans="3:4" x14ac:dyDescent="0.25">
      <c r="C168" t="s">
        <v>22</v>
      </c>
      <c r="D168">
        <f>AVERAGE(D165:D167)</f>
        <v>0.76233333333333331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9"/>
  <sheetViews>
    <sheetView topLeftCell="M158" workbookViewId="0">
      <selection activeCell="V32" sqref="V32"/>
    </sheetView>
  </sheetViews>
  <sheetFormatPr defaultRowHeight="15" x14ac:dyDescent="0.25"/>
  <sheetData>
    <row r="1" spans="1:45" x14ac:dyDescent="0.25">
      <c r="A1" t="s">
        <v>5</v>
      </c>
      <c r="B1" t="s">
        <v>50</v>
      </c>
      <c r="C1" t="s">
        <v>6</v>
      </c>
      <c r="D1" t="s">
        <v>24</v>
      </c>
      <c r="E1" t="s">
        <v>48</v>
      </c>
      <c r="F1" t="s">
        <v>9</v>
      </c>
      <c r="G1" t="s">
        <v>3</v>
      </c>
    </row>
    <row r="2" spans="1:45" x14ac:dyDescent="0.25">
      <c r="A2">
        <v>5</v>
      </c>
      <c r="B2">
        <v>0.66200000000000003</v>
      </c>
      <c r="C2" t="s">
        <v>0</v>
      </c>
      <c r="D2" s="4">
        <v>0.47299999999999998</v>
      </c>
      <c r="E2">
        <f>(((B2-D2)/B2)*100)</f>
        <v>28.549848942598192</v>
      </c>
      <c r="F2">
        <f>AVERAGE(E2:E4)</f>
        <v>33.434038267875131</v>
      </c>
      <c r="G2">
        <f>STDEV(E2:E4)</f>
        <v>4.2627460248332634</v>
      </c>
    </row>
    <row r="3" spans="1:45" x14ac:dyDescent="0.25">
      <c r="A3">
        <v>5</v>
      </c>
      <c r="B3">
        <v>0.66200000000000003</v>
      </c>
      <c r="C3" t="s">
        <v>1</v>
      </c>
      <c r="D3" s="4">
        <v>0.42799999999999999</v>
      </c>
      <c r="E3">
        <f t="shared" ref="E3:E15" si="0">(((B3-D3)/B3)*100)</f>
        <v>35.347432024169187</v>
      </c>
    </row>
    <row r="4" spans="1:45" x14ac:dyDescent="0.25">
      <c r="A4">
        <v>5</v>
      </c>
      <c r="B4">
        <v>0.66200000000000003</v>
      </c>
      <c r="C4" t="s">
        <v>2</v>
      </c>
      <c r="D4" s="4">
        <v>0.42099999999999999</v>
      </c>
      <c r="E4">
        <f t="shared" si="0"/>
        <v>36.40483383685801</v>
      </c>
    </row>
    <row r="5" spans="1:45" x14ac:dyDescent="0.25">
      <c r="A5">
        <v>10</v>
      </c>
      <c r="B5">
        <v>0.66200000000000003</v>
      </c>
      <c r="C5" t="s">
        <v>0</v>
      </c>
      <c r="D5" s="4">
        <v>0.31900000000000001</v>
      </c>
      <c r="E5">
        <f t="shared" si="0"/>
        <v>51.812688821752261</v>
      </c>
      <c r="F5">
        <f>AVERAGE(E5:E7)</f>
        <v>52.467270896273909</v>
      </c>
      <c r="G5">
        <f>STDEV(E5:E7)</f>
        <v>0.57189409323265994</v>
      </c>
    </row>
    <row r="6" spans="1:45" x14ac:dyDescent="0.25">
      <c r="A6">
        <v>10</v>
      </c>
      <c r="B6">
        <v>0.66200000000000003</v>
      </c>
      <c r="C6" t="s">
        <v>1</v>
      </c>
      <c r="D6" s="4">
        <v>0.312</v>
      </c>
      <c r="E6">
        <f t="shared" si="0"/>
        <v>52.870090634441091</v>
      </c>
    </row>
    <row r="7" spans="1:45" x14ac:dyDescent="0.25">
      <c r="A7">
        <v>10</v>
      </c>
      <c r="B7">
        <v>0.66200000000000003</v>
      </c>
      <c r="C7" t="s">
        <v>2</v>
      </c>
      <c r="D7" s="4">
        <v>0.313</v>
      </c>
      <c r="E7">
        <f t="shared" si="0"/>
        <v>52.719033232628398</v>
      </c>
      <c r="I7" t="s">
        <v>10</v>
      </c>
      <c r="J7" t="s">
        <v>9</v>
      </c>
      <c r="T7" t="s">
        <v>10</v>
      </c>
      <c r="U7" t="s">
        <v>53</v>
      </c>
      <c r="AE7" t="s">
        <v>10</v>
      </c>
      <c r="AF7" t="s">
        <v>54</v>
      </c>
      <c r="AR7" t="s">
        <v>55</v>
      </c>
      <c r="AS7" t="s">
        <v>3</v>
      </c>
    </row>
    <row r="8" spans="1:45" x14ac:dyDescent="0.25">
      <c r="A8">
        <v>20</v>
      </c>
      <c r="B8">
        <v>0.66200000000000003</v>
      </c>
      <c r="C8" t="s">
        <v>0</v>
      </c>
      <c r="D8" s="4">
        <v>0.20100000000000001</v>
      </c>
      <c r="E8">
        <f t="shared" si="0"/>
        <v>69.637462235649551</v>
      </c>
      <c r="F8">
        <f>AVERAGE(E8:E10)</f>
        <v>60.322255790533745</v>
      </c>
      <c r="G8">
        <f>STDEV(E8:E10)</f>
        <v>8.0703868927263471</v>
      </c>
      <c r="I8">
        <v>5</v>
      </c>
      <c r="J8">
        <v>33.43</v>
      </c>
      <c r="T8">
        <v>5</v>
      </c>
      <c r="U8">
        <v>29.17</v>
      </c>
      <c r="AE8">
        <v>5</v>
      </c>
      <c r="AF8">
        <v>37.69</v>
      </c>
      <c r="AR8">
        <f>(50-40.948)/0.7047</f>
        <v>12.845182347098055</v>
      </c>
      <c r="AS8">
        <f>STDEV(AR8:AR10)</f>
        <v>5.3148283378834851</v>
      </c>
    </row>
    <row r="9" spans="1:45" x14ac:dyDescent="0.25">
      <c r="A9">
        <v>20</v>
      </c>
      <c r="B9">
        <v>0.66200000000000003</v>
      </c>
      <c r="C9" t="s">
        <v>1</v>
      </c>
      <c r="D9" s="4">
        <v>0.29199999999999998</v>
      </c>
      <c r="E9">
        <f t="shared" si="0"/>
        <v>55.891238670694868</v>
      </c>
      <c r="I9">
        <v>10</v>
      </c>
      <c r="J9">
        <v>52.46</v>
      </c>
      <c r="T9">
        <v>10</v>
      </c>
      <c r="U9">
        <v>51.89</v>
      </c>
      <c r="AE9">
        <v>10</v>
      </c>
      <c r="AF9">
        <v>53.03</v>
      </c>
      <c r="AR9">
        <f>(50-36.687)/0.7461</f>
        <v>17.84345262029219</v>
      </c>
    </row>
    <row r="10" spans="1:45" x14ac:dyDescent="0.25">
      <c r="A10">
        <v>20</v>
      </c>
      <c r="B10">
        <v>0.66200000000000003</v>
      </c>
      <c r="C10" t="s">
        <v>2</v>
      </c>
      <c r="D10" s="4">
        <v>0.29499999999999998</v>
      </c>
      <c r="E10">
        <f t="shared" si="0"/>
        <v>55.438066465256796</v>
      </c>
      <c r="I10">
        <v>20</v>
      </c>
      <c r="J10">
        <v>60.32</v>
      </c>
      <c r="T10">
        <v>20</v>
      </c>
      <c r="U10">
        <v>52.25</v>
      </c>
      <c r="AE10">
        <v>20</v>
      </c>
      <c r="AF10">
        <v>68.39</v>
      </c>
      <c r="AR10">
        <f>(50-45.211)/0.6633</f>
        <v>7.2199608020503563</v>
      </c>
    </row>
    <row r="11" spans="1:45" x14ac:dyDescent="0.25">
      <c r="A11">
        <v>40</v>
      </c>
      <c r="B11">
        <v>0.66200000000000003</v>
      </c>
      <c r="C11" t="s">
        <v>0</v>
      </c>
      <c r="D11" s="4">
        <v>0.17699999999999999</v>
      </c>
      <c r="E11">
        <f t="shared" si="0"/>
        <v>73.262839879154086</v>
      </c>
      <c r="F11">
        <f>AVERAGE(E11:E13)</f>
        <v>74.118831822759319</v>
      </c>
      <c r="G11">
        <f>STDEV(E11:E13)</f>
        <v>1.005789745993859</v>
      </c>
      <c r="I11">
        <v>40</v>
      </c>
      <c r="J11">
        <v>74.11</v>
      </c>
      <c r="T11">
        <v>40</v>
      </c>
      <c r="U11">
        <v>73.11</v>
      </c>
      <c r="AE11">
        <v>40</v>
      </c>
      <c r="AF11">
        <v>75.12</v>
      </c>
    </row>
    <row r="12" spans="1:45" x14ac:dyDescent="0.25">
      <c r="A12">
        <v>40</v>
      </c>
      <c r="B12">
        <v>0.66200000000000003</v>
      </c>
      <c r="C12" t="s">
        <v>1</v>
      </c>
      <c r="D12" s="4">
        <v>0.17299999999999999</v>
      </c>
      <c r="E12">
        <f t="shared" si="0"/>
        <v>73.86706948640483</v>
      </c>
      <c r="I12">
        <v>80</v>
      </c>
      <c r="J12">
        <v>93.65</v>
      </c>
      <c r="T12">
        <v>80</v>
      </c>
      <c r="U12">
        <v>92.66</v>
      </c>
      <c r="AE12">
        <v>80</v>
      </c>
      <c r="AF12">
        <v>94.64</v>
      </c>
    </row>
    <row r="13" spans="1:45" x14ac:dyDescent="0.25">
      <c r="A13">
        <v>40</v>
      </c>
      <c r="B13">
        <v>0.66200000000000003</v>
      </c>
      <c r="C13" t="s">
        <v>2</v>
      </c>
      <c r="D13" s="4">
        <v>0.16400000000000001</v>
      </c>
      <c r="E13">
        <f t="shared" si="0"/>
        <v>75.226586102719025</v>
      </c>
    </row>
    <row r="14" spans="1:45" x14ac:dyDescent="0.25">
      <c r="A14">
        <v>80</v>
      </c>
      <c r="B14">
        <v>0.66200000000000003</v>
      </c>
      <c r="C14" t="s">
        <v>0</v>
      </c>
      <c r="D14" s="4">
        <v>3.5000000000000003E-2</v>
      </c>
      <c r="E14">
        <f t="shared" si="0"/>
        <v>94.712990936555883</v>
      </c>
      <c r="F14">
        <f>AVERAGE(E14:E16)</f>
        <v>93.65558912386706</v>
      </c>
      <c r="G14">
        <f>STDEV(E14:E16)</f>
        <v>0.99054962602749252</v>
      </c>
    </row>
    <row r="15" spans="1:45" x14ac:dyDescent="0.25">
      <c r="A15">
        <v>80</v>
      </c>
      <c r="B15">
        <v>0.66200000000000003</v>
      </c>
      <c r="C15" t="s">
        <v>1</v>
      </c>
      <c r="D15" s="4">
        <v>4.2999999999999997E-2</v>
      </c>
      <c r="E15">
        <f t="shared" si="0"/>
        <v>93.504531722054367</v>
      </c>
      <c r="I15" t="s">
        <v>18</v>
      </c>
      <c r="J15">
        <f>(50-40.948)/0.7047</f>
        <v>12.845182347098055</v>
      </c>
      <c r="T15" t="s">
        <v>17</v>
      </c>
      <c r="U15">
        <f>(50-36.687)/0.7461</f>
        <v>17.84345262029219</v>
      </c>
      <c r="AE15" t="s">
        <v>17</v>
      </c>
      <c r="AF15">
        <f>(50-45.211)/0.6633</f>
        <v>7.2199608020503563</v>
      </c>
    </row>
    <row r="16" spans="1:45" x14ac:dyDescent="0.25">
      <c r="A16">
        <v>80</v>
      </c>
      <c r="B16">
        <v>0.66200000000000003</v>
      </c>
      <c r="C16" t="s">
        <v>2</v>
      </c>
      <c r="D16" s="4">
        <v>4.8000000000000001E-2</v>
      </c>
      <c r="E16">
        <f>(((B16-D16)/B16)*100)</f>
        <v>92.749244712990929</v>
      </c>
    </row>
    <row r="17" spans="1:18" x14ac:dyDescent="0.25">
      <c r="R17" t="s">
        <v>49</v>
      </c>
    </row>
    <row r="21" spans="1:18" x14ac:dyDescent="0.25">
      <c r="H21" t="s">
        <v>16</v>
      </c>
    </row>
    <row r="26" spans="1:18" x14ac:dyDescent="0.25">
      <c r="A26" t="s">
        <v>5</v>
      </c>
      <c r="B26" t="s">
        <v>50</v>
      </c>
      <c r="C26" t="s">
        <v>6</v>
      </c>
      <c r="D26" t="s">
        <v>24</v>
      </c>
      <c r="E26" t="s">
        <v>48</v>
      </c>
      <c r="F26" t="s">
        <v>9</v>
      </c>
      <c r="G26" t="s">
        <v>3</v>
      </c>
    </row>
    <row r="27" spans="1:18" x14ac:dyDescent="0.25">
      <c r="A27">
        <v>2.5</v>
      </c>
      <c r="B27">
        <v>0.66200000000000003</v>
      </c>
      <c r="C27" t="s">
        <v>0</v>
      </c>
      <c r="D27">
        <v>0.65200000000000002</v>
      </c>
      <c r="E27">
        <f>(((B27-D27)/B27)*100)</f>
        <v>1.5105740181268894</v>
      </c>
      <c r="F27">
        <f>AVERAGE(E27:E29)</f>
        <v>1.0574018126888227</v>
      </c>
      <c r="G27">
        <f>STDEV(E27:E29)</f>
        <v>0.39966031889193243</v>
      </c>
    </row>
    <row r="28" spans="1:18" x14ac:dyDescent="0.25">
      <c r="A28">
        <v>2.5</v>
      </c>
      <c r="B28">
        <v>0.66200000000000003</v>
      </c>
      <c r="C28" t="s">
        <v>1</v>
      </c>
      <c r="D28">
        <v>0.65700000000000003</v>
      </c>
      <c r="E28">
        <f t="shared" ref="E28:E46" si="1">(((B28-D28)/B28)*100)</f>
        <v>0.7552870090634447</v>
      </c>
    </row>
    <row r="29" spans="1:18" x14ac:dyDescent="0.25">
      <c r="A29">
        <v>2.5</v>
      </c>
      <c r="B29">
        <v>0.66200000000000003</v>
      </c>
      <c r="C29" t="s">
        <v>2</v>
      </c>
      <c r="D29">
        <v>0.65600000000000003</v>
      </c>
      <c r="E29">
        <f t="shared" si="1"/>
        <v>0.90634441087613371</v>
      </c>
    </row>
    <row r="30" spans="1:18" x14ac:dyDescent="0.25">
      <c r="A30">
        <v>5</v>
      </c>
      <c r="B30">
        <v>0.66200000000000003</v>
      </c>
      <c r="C30" t="s">
        <v>0</v>
      </c>
      <c r="D30">
        <v>0.59199999999999997</v>
      </c>
      <c r="E30">
        <f t="shared" si="1"/>
        <v>10.574018126888227</v>
      </c>
      <c r="F30">
        <f>AVERAGE(E30:E32)</f>
        <v>9.9194360523665743</v>
      </c>
      <c r="G30">
        <f>STDEV(E30:E32)</f>
        <v>0.57189409323265672</v>
      </c>
    </row>
    <row r="31" spans="1:18" x14ac:dyDescent="0.25">
      <c r="A31">
        <v>5</v>
      </c>
      <c r="B31">
        <v>0.66200000000000003</v>
      </c>
      <c r="C31" t="s">
        <v>1</v>
      </c>
      <c r="D31">
        <v>0.59799999999999998</v>
      </c>
      <c r="E31">
        <f t="shared" si="1"/>
        <v>9.6676737160120929</v>
      </c>
    </row>
    <row r="32" spans="1:18" x14ac:dyDescent="0.25">
      <c r="A32">
        <v>5</v>
      </c>
      <c r="B32">
        <v>0.66200000000000003</v>
      </c>
      <c r="C32" t="s">
        <v>2</v>
      </c>
      <c r="D32">
        <v>0.59899999999999998</v>
      </c>
      <c r="E32">
        <f t="shared" si="1"/>
        <v>9.5166163141994033</v>
      </c>
      <c r="I32" s="2" t="s">
        <v>11</v>
      </c>
    </row>
    <row r="33" spans="1:46" x14ac:dyDescent="0.25">
      <c r="A33">
        <v>10</v>
      </c>
      <c r="B33">
        <v>0.66200000000000003</v>
      </c>
      <c r="C33" t="s">
        <v>0</v>
      </c>
      <c r="D33">
        <v>0.53700000000000003</v>
      </c>
      <c r="E33">
        <f t="shared" si="1"/>
        <v>18.882175226586099</v>
      </c>
      <c r="F33">
        <f>AVERAGE(E33:E33)</f>
        <v>18.882175226586099</v>
      </c>
      <c r="G33">
        <f>STDEV(E33:E35)</f>
        <v>0.34885212639856711</v>
      </c>
      <c r="I33" t="s">
        <v>10</v>
      </c>
      <c r="J33" t="s">
        <v>9</v>
      </c>
      <c r="U33" t="s">
        <v>10</v>
      </c>
      <c r="V33" t="s">
        <v>53</v>
      </c>
      <c r="AF33" t="s">
        <v>10</v>
      </c>
      <c r="AG33" t="s">
        <v>54</v>
      </c>
      <c r="AS33" t="s">
        <v>55</v>
      </c>
      <c r="AT33" t="s">
        <v>3</v>
      </c>
    </row>
    <row r="34" spans="1:46" x14ac:dyDescent="0.25">
      <c r="A34">
        <v>10</v>
      </c>
      <c r="B34">
        <v>0.66200000000000003</v>
      </c>
      <c r="C34" t="s">
        <v>1</v>
      </c>
      <c r="D34">
        <v>0.53300000000000003</v>
      </c>
      <c r="E34">
        <f t="shared" si="1"/>
        <v>19.486404833836858</v>
      </c>
      <c r="I34">
        <v>2.5</v>
      </c>
      <c r="J34">
        <v>1.05</v>
      </c>
      <c r="U34">
        <v>2.5</v>
      </c>
      <c r="V34">
        <v>0.65</v>
      </c>
      <c r="AF34">
        <v>2.5</v>
      </c>
      <c r="AG34">
        <v>1.45</v>
      </c>
      <c r="AS34">
        <f>(50-14.392)/0.3039</f>
        <v>117.17012175057586</v>
      </c>
      <c r="AT34">
        <f>STDEV(AS34:AS36)</f>
        <v>1.676329766961965</v>
      </c>
    </row>
    <row r="35" spans="1:46" x14ac:dyDescent="0.25">
      <c r="A35">
        <v>10</v>
      </c>
      <c r="B35">
        <v>0.66200000000000003</v>
      </c>
      <c r="C35" t="s">
        <v>2</v>
      </c>
      <c r="D35">
        <v>0.53700000000000003</v>
      </c>
      <c r="E35">
        <f t="shared" si="1"/>
        <v>18.882175226586099</v>
      </c>
      <c r="I35">
        <v>5</v>
      </c>
      <c r="J35">
        <v>9.91</v>
      </c>
      <c r="U35">
        <v>5</v>
      </c>
      <c r="V35">
        <v>9.34</v>
      </c>
      <c r="AF35">
        <v>5</v>
      </c>
      <c r="AG35">
        <v>10.49</v>
      </c>
      <c r="AS35">
        <f>(50-14.005)/0.3029</f>
        <v>118.83459887751732</v>
      </c>
    </row>
    <row r="36" spans="1:46" x14ac:dyDescent="0.25">
      <c r="A36">
        <v>20</v>
      </c>
      <c r="B36">
        <v>0.66200000000000003</v>
      </c>
      <c r="C36" t="s">
        <v>0</v>
      </c>
      <c r="D36">
        <v>0.47599999999999998</v>
      </c>
      <c r="E36">
        <f t="shared" si="1"/>
        <v>28.096676737160127</v>
      </c>
      <c r="F36">
        <f>AVERAGE(E36:E38)</f>
        <v>28.147029204431021</v>
      </c>
      <c r="G36">
        <f>STDEV(E36:E38)</f>
        <v>0.23074399269666981</v>
      </c>
      <c r="I36">
        <v>10</v>
      </c>
      <c r="J36">
        <v>18.88</v>
      </c>
      <c r="U36">
        <v>10</v>
      </c>
      <c r="V36">
        <v>18.53</v>
      </c>
      <c r="AF36">
        <v>10</v>
      </c>
      <c r="AG36">
        <v>19.23</v>
      </c>
      <c r="AS36">
        <f>(50-14.778)/0.305</f>
        <v>115.48196721311476</v>
      </c>
    </row>
    <row r="37" spans="1:46" x14ac:dyDescent="0.25">
      <c r="A37">
        <v>20</v>
      </c>
      <c r="B37">
        <v>0.66200000000000003</v>
      </c>
      <c r="C37" t="s">
        <v>1</v>
      </c>
      <c r="D37">
        <v>0.47399999999999998</v>
      </c>
      <c r="E37">
        <f t="shared" si="1"/>
        <v>28.398791540785506</v>
      </c>
      <c r="I37">
        <v>20</v>
      </c>
      <c r="J37">
        <v>28.14</v>
      </c>
      <c r="U37">
        <v>20</v>
      </c>
      <c r="V37">
        <v>27.91</v>
      </c>
      <c r="AF37">
        <v>20</v>
      </c>
      <c r="AG37">
        <v>28.37</v>
      </c>
    </row>
    <row r="38" spans="1:46" x14ac:dyDescent="0.25">
      <c r="A38">
        <v>20</v>
      </c>
      <c r="B38">
        <v>0.66200000000000003</v>
      </c>
      <c r="C38" t="s">
        <v>2</v>
      </c>
      <c r="D38">
        <v>0.47699999999999998</v>
      </c>
      <c r="E38">
        <f t="shared" si="1"/>
        <v>27.945619335347438</v>
      </c>
      <c r="I38">
        <v>40</v>
      </c>
      <c r="J38">
        <v>35.799999999999997</v>
      </c>
      <c r="U38">
        <v>40</v>
      </c>
      <c r="V38">
        <v>35.53</v>
      </c>
      <c r="AF38">
        <v>40</v>
      </c>
      <c r="AG38">
        <v>36.06</v>
      </c>
    </row>
    <row r="39" spans="1:46" x14ac:dyDescent="0.25">
      <c r="A39">
        <v>40</v>
      </c>
      <c r="B39">
        <v>0.66200000000000003</v>
      </c>
      <c r="C39" t="s">
        <v>0</v>
      </c>
      <c r="D39">
        <v>0.42399999999999999</v>
      </c>
      <c r="E39">
        <f t="shared" si="1"/>
        <v>35.951661631419945</v>
      </c>
      <c r="F39">
        <f>AVERAGE(E39:E41)</f>
        <v>35.800604229607252</v>
      </c>
      <c r="G39">
        <f>STDEV(E39:E41)</f>
        <v>0.26163909479892328</v>
      </c>
      <c r="I39">
        <v>80</v>
      </c>
      <c r="J39">
        <v>48.08</v>
      </c>
      <c r="U39">
        <v>80</v>
      </c>
      <c r="V39">
        <v>47.34</v>
      </c>
      <c r="AF39">
        <v>80</v>
      </c>
      <c r="AG39">
        <v>48.83</v>
      </c>
    </row>
    <row r="40" spans="1:46" x14ac:dyDescent="0.25">
      <c r="A40">
        <v>40</v>
      </c>
      <c r="B40">
        <v>0.66200000000000003</v>
      </c>
      <c r="C40" t="s">
        <v>1</v>
      </c>
      <c r="D40">
        <v>0.42399999999999999</v>
      </c>
      <c r="E40">
        <f t="shared" si="1"/>
        <v>35.951661631419945</v>
      </c>
      <c r="I40">
        <v>160</v>
      </c>
      <c r="J40">
        <v>55.38</v>
      </c>
      <c r="U40">
        <v>160</v>
      </c>
      <c r="V40">
        <v>54.9</v>
      </c>
      <c r="AF40">
        <v>160</v>
      </c>
      <c r="AG40">
        <v>55.87</v>
      </c>
    </row>
    <row r="41" spans="1:46" x14ac:dyDescent="0.25">
      <c r="A41">
        <v>40</v>
      </c>
      <c r="B41">
        <v>0.66200000000000003</v>
      </c>
      <c r="C41" t="s">
        <v>2</v>
      </c>
      <c r="D41">
        <v>0.42699999999999999</v>
      </c>
      <c r="E41">
        <f t="shared" si="1"/>
        <v>35.49848942598188</v>
      </c>
    </row>
    <row r="42" spans="1:46" x14ac:dyDescent="0.25">
      <c r="A42">
        <v>80</v>
      </c>
      <c r="B42">
        <v>0.66200000000000003</v>
      </c>
      <c r="C42" t="s">
        <v>0</v>
      </c>
      <c r="D42">
        <v>0.34699999999999998</v>
      </c>
      <c r="E42">
        <f t="shared" si="1"/>
        <v>47.583081570996988</v>
      </c>
      <c r="F42">
        <f>AVERAGE(E42:E44)</f>
        <v>48.086606243705944</v>
      </c>
      <c r="G42">
        <f>STDEV(E42:E44)</f>
        <v>0.74514846862782624</v>
      </c>
    </row>
    <row r="43" spans="1:46" x14ac:dyDescent="0.25">
      <c r="A43">
        <v>80</v>
      </c>
      <c r="B43">
        <v>0.66200000000000003</v>
      </c>
      <c r="C43" t="s">
        <v>1</v>
      </c>
      <c r="D43">
        <v>0.33800000000000002</v>
      </c>
      <c r="E43">
        <f t="shared" si="1"/>
        <v>48.942598187311177</v>
      </c>
      <c r="I43" t="s">
        <v>18</v>
      </c>
      <c r="J43">
        <f>(50-14.392)/0.3039</f>
        <v>117.17012175057586</v>
      </c>
      <c r="U43" t="s">
        <v>17</v>
      </c>
      <c r="V43">
        <f>(50-14.005)/0.3029</f>
        <v>118.83459887751732</v>
      </c>
      <c r="AF43" t="s">
        <v>17</v>
      </c>
      <c r="AG43">
        <f>(50-14.778)/0.305</f>
        <v>115.48196721311476</v>
      </c>
    </row>
    <row r="44" spans="1:46" x14ac:dyDescent="0.25">
      <c r="A44">
        <v>80</v>
      </c>
      <c r="B44">
        <v>0.66200000000000003</v>
      </c>
      <c r="C44" t="s">
        <v>2</v>
      </c>
      <c r="D44">
        <v>0.34599999999999997</v>
      </c>
      <c r="E44">
        <f t="shared" si="1"/>
        <v>47.734138972809674</v>
      </c>
    </row>
    <row r="45" spans="1:46" x14ac:dyDescent="0.25">
      <c r="A45">
        <v>160</v>
      </c>
      <c r="B45">
        <v>0.66200000000000003</v>
      </c>
      <c r="C45" t="s">
        <v>0</v>
      </c>
      <c r="D45">
        <v>0.29399999999999998</v>
      </c>
      <c r="E45">
        <f t="shared" si="1"/>
        <v>55.589123867069489</v>
      </c>
      <c r="F45">
        <f>AVERAGE(E45:E47)</f>
        <v>55.387713997985905</v>
      </c>
      <c r="G45">
        <f>STDEV(E45:E47)</f>
        <v>0.48558160931485339</v>
      </c>
    </row>
    <row r="46" spans="1:46" x14ac:dyDescent="0.25">
      <c r="A46">
        <v>160</v>
      </c>
      <c r="B46">
        <v>0.66200000000000003</v>
      </c>
      <c r="C46" t="s">
        <v>1</v>
      </c>
      <c r="D46">
        <v>0.29899999999999999</v>
      </c>
      <c r="E46">
        <f t="shared" si="1"/>
        <v>54.833836858006045</v>
      </c>
    </row>
    <row r="47" spans="1:46" x14ac:dyDescent="0.25">
      <c r="A47">
        <v>160</v>
      </c>
      <c r="B47">
        <v>0.66200000000000003</v>
      </c>
      <c r="C47" t="s">
        <v>2</v>
      </c>
      <c r="D47">
        <v>0.29299999999999998</v>
      </c>
      <c r="E47">
        <f>(((B47-D47)/B47)*100)</f>
        <v>55.740181268882182</v>
      </c>
    </row>
    <row r="55" spans="1:45" x14ac:dyDescent="0.25">
      <c r="A55" t="s">
        <v>5</v>
      </c>
      <c r="B55" t="s">
        <v>50</v>
      </c>
      <c r="C55" t="s">
        <v>6</v>
      </c>
      <c r="D55" t="s">
        <v>24</v>
      </c>
      <c r="E55" t="s">
        <v>48</v>
      </c>
      <c r="F55" t="s">
        <v>9</v>
      </c>
      <c r="G55" t="s">
        <v>3</v>
      </c>
    </row>
    <row r="56" spans="1:45" x14ac:dyDescent="0.25">
      <c r="A56">
        <v>2.5</v>
      </c>
      <c r="B56">
        <v>0.66200000000000003</v>
      </c>
      <c r="C56" t="s">
        <v>0</v>
      </c>
      <c r="D56">
        <v>0.65500000000000003</v>
      </c>
      <c r="E56">
        <f>(((B56-D56)/B56)*100)</f>
        <v>1.0574018126888227</v>
      </c>
      <c r="F56" s="3">
        <f>AVERAGE(E56:E58)</f>
        <v>1.0574018126888227</v>
      </c>
      <c r="G56" s="3">
        <f>STDEV(E56:E58)</f>
        <v>0.30211480362537801</v>
      </c>
    </row>
    <row r="57" spans="1:45" x14ac:dyDescent="0.25">
      <c r="A57">
        <v>2.5</v>
      </c>
      <c r="B57">
        <v>0.66200000000000003</v>
      </c>
      <c r="C57" t="s">
        <v>1</v>
      </c>
      <c r="D57">
        <v>0.65700000000000003</v>
      </c>
      <c r="E57">
        <f t="shared" ref="E57:E76" si="2">(((B57-D57)/B57)*100)</f>
        <v>0.7552870090634447</v>
      </c>
    </row>
    <row r="58" spans="1:45" x14ac:dyDescent="0.25">
      <c r="A58">
        <v>2.5</v>
      </c>
      <c r="B58">
        <v>0.66200000000000003</v>
      </c>
      <c r="C58" t="s">
        <v>2</v>
      </c>
      <c r="D58">
        <v>0.65300000000000002</v>
      </c>
      <c r="E58">
        <f t="shared" si="2"/>
        <v>1.3595166163142005</v>
      </c>
    </row>
    <row r="59" spans="1:45" x14ac:dyDescent="0.25">
      <c r="A59">
        <v>5</v>
      </c>
      <c r="B59">
        <v>0.66200000000000003</v>
      </c>
      <c r="C59" t="s">
        <v>0</v>
      </c>
      <c r="D59">
        <v>0.628</v>
      </c>
      <c r="E59">
        <f t="shared" si="2"/>
        <v>5.1359516616314247</v>
      </c>
      <c r="F59">
        <f>AVERAGE(E59:E61)</f>
        <v>3.9274924471299131</v>
      </c>
      <c r="G59">
        <f>STDEV(E59:E61)</f>
        <v>1.0892904155480334</v>
      </c>
    </row>
    <row r="60" spans="1:45" x14ac:dyDescent="0.25">
      <c r="A60">
        <v>5</v>
      </c>
      <c r="B60">
        <v>0.66200000000000003</v>
      </c>
      <c r="C60" t="s">
        <v>1</v>
      </c>
      <c r="D60">
        <v>0.64200000000000002</v>
      </c>
      <c r="E60">
        <f t="shared" si="2"/>
        <v>3.0211480362537788</v>
      </c>
    </row>
    <row r="61" spans="1:45" x14ac:dyDescent="0.25">
      <c r="A61">
        <v>5</v>
      </c>
      <c r="B61">
        <v>0.66200000000000003</v>
      </c>
      <c r="C61" t="s">
        <v>2</v>
      </c>
      <c r="D61">
        <v>0.63800000000000001</v>
      </c>
      <c r="E61">
        <f t="shared" si="2"/>
        <v>3.6253776435045348</v>
      </c>
      <c r="AR61" t="s">
        <v>55</v>
      </c>
      <c r="AS61" t="s">
        <v>3</v>
      </c>
    </row>
    <row r="62" spans="1:45" x14ac:dyDescent="0.25">
      <c r="A62">
        <v>10</v>
      </c>
      <c r="B62">
        <v>0.66200000000000003</v>
      </c>
      <c r="C62" t="s">
        <v>0</v>
      </c>
      <c r="D62">
        <v>0.56899999999999995</v>
      </c>
      <c r="E62">
        <f t="shared" si="2"/>
        <v>14.048338368580071</v>
      </c>
      <c r="F62">
        <f>AVERAGE(E62:E64)</f>
        <v>15.407854984894259</v>
      </c>
      <c r="G62">
        <f>STDEV(E62:E64)</f>
        <v>1.290635006845541</v>
      </c>
      <c r="AR62">
        <f>(50-11.852)/0.2966</f>
        <v>128.61766689143627</v>
      </c>
      <c r="AS62">
        <f>STDEV(AR62:AR64)</f>
        <v>1.7108215317312274</v>
      </c>
    </row>
    <row r="63" spans="1:45" x14ac:dyDescent="0.25">
      <c r="A63">
        <v>10</v>
      </c>
      <c r="B63">
        <v>0.66200000000000003</v>
      </c>
      <c r="C63" t="s">
        <v>1</v>
      </c>
      <c r="D63">
        <v>0.55200000000000005</v>
      </c>
      <c r="E63">
        <f t="shared" si="2"/>
        <v>16.616314199395767</v>
      </c>
      <c r="AR63">
        <f>(50-10.985)/0.2994</f>
        <v>130.31062124248498</v>
      </c>
    </row>
    <row r="64" spans="1:45" x14ac:dyDescent="0.25">
      <c r="A64">
        <v>10</v>
      </c>
      <c r="B64">
        <v>0.66200000000000003</v>
      </c>
      <c r="C64" t="s">
        <v>2</v>
      </c>
      <c r="D64">
        <v>0.55900000000000005</v>
      </c>
      <c r="E64">
        <f t="shared" si="2"/>
        <v>15.558912386706943</v>
      </c>
      <c r="I64" s="1" t="s">
        <v>15</v>
      </c>
      <c r="AR64">
        <f>(50-12.72)/0.2938</f>
        <v>126.88904016337645</v>
      </c>
    </row>
    <row r="65" spans="1:33" x14ac:dyDescent="0.25">
      <c r="A65">
        <v>20</v>
      </c>
      <c r="B65">
        <v>0.66200000000000003</v>
      </c>
      <c r="C65" t="s">
        <v>0</v>
      </c>
      <c r="D65">
        <v>0.47799999999999998</v>
      </c>
      <c r="E65">
        <f t="shared" si="2"/>
        <v>27.794561933534752</v>
      </c>
      <c r="F65">
        <f>AVERAGE(E65:E67)</f>
        <v>27.643504531722058</v>
      </c>
      <c r="G65">
        <f>STDEV(E65:E67)</f>
        <v>0.9905496260274923</v>
      </c>
      <c r="I65" t="s">
        <v>10</v>
      </c>
      <c r="J65" t="s">
        <v>9</v>
      </c>
      <c r="T65" t="s">
        <v>10</v>
      </c>
      <c r="U65" t="s">
        <v>53</v>
      </c>
      <c r="AF65" t="s">
        <v>10</v>
      </c>
      <c r="AG65" t="s">
        <v>54</v>
      </c>
    </row>
    <row r="66" spans="1:33" x14ac:dyDescent="0.25">
      <c r="A66">
        <v>20</v>
      </c>
      <c r="B66">
        <v>0.66200000000000003</v>
      </c>
      <c r="C66" t="s">
        <v>1</v>
      </c>
      <c r="D66">
        <v>0.47299999999999998</v>
      </c>
      <c r="E66">
        <f t="shared" si="2"/>
        <v>28.549848942598192</v>
      </c>
      <c r="I66">
        <v>2.5</v>
      </c>
      <c r="J66">
        <v>1.05</v>
      </c>
      <c r="T66">
        <v>2.5</v>
      </c>
      <c r="U66">
        <v>0.75</v>
      </c>
      <c r="AF66">
        <v>2.5</v>
      </c>
      <c r="AG66">
        <v>1.35</v>
      </c>
    </row>
    <row r="67" spans="1:33" x14ac:dyDescent="0.25">
      <c r="A67">
        <v>20</v>
      </c>
      <c r="B67">
        <v>0.66200000000000003</v>
      </c>
      <c r="C67" t="s">
        <v>2</v>
      </c>
      <c r="D67">
        <v>0.48599999999999999</v>
      </c>
      <c r="E67">
        <f t="shared" si="2"/>
        <v>26.586102719033239</v>
      </c>
      <c r="I67">
        <v>5</v>
      </c>
      <c r="J67">
        <v>3.92</v>
      </c>
      <c r="T67">
        <v>5</v>
      </c>
      <c r="U67">
        <v>2.83</v>
      </c>
      <c r="AF67">
        <v>5</v>
      </c>
      <c r="AG67">
        <v>5.01</v>
      </c>
    </row>
    <row r="68" spans="1:33" x14ac:dyDescent="0.25">
      <c r="A68">
        <v>40</v>
      </c>
      <c r="B68">
        <v>0.66200000000000003</v>
      </c>
      <c r="C68" t="s">
        <v>0</v>
      </c>
      <c r="D68">
        <v>0.438</v>
      </c>
      <c r="E68">
        <f t="shared" si="2"/>
        <v>33.836858006042299</v>
      </c>
      <c r="F68">
        <f>AVERAGE(E68:E70)</f>
        <v>34.138972809667678</v>
      </c>
      <c r="G68">
        <f>STDEV(E68:E70)</f>
        <v>0.30211480362537557</v>
      </c>
      <c r="I68">
        <v>10</v>
      </c>
      <c r="J68">
        <v>15.4</v>
      </c>
      <c r="T68">
        <v>10</v>
      </c>
      <c r="U68">
        <v>14.11</v>
      </c>
      <c r="AF68">
        <v>10</v>
      </c>
      <c r="AG68">
        <v>16.690000000000001</v>
      </c>
    </row>
    <row r="69" spans="1:33" x14ac:dyDescent="0.25">
      <c r="A69">
        <v>40</v>
      </c>
      <c r="B69">
        <v>0.66200000000000003</v>
      </c>
      <c r="C69" t="s">
        <v>1</v>
      </c>
      <c r="D69">
        <v>0.434</v>
      </c>
      <c r="E69">
        <f t="shared" si="2"/>
        <v>34.44108761329305</v>
      </c>
      <c r="I69">
        <v>20</v>
      </c>
      <c r="J69">
        <v>27.64</v>
      </c>
      <c r="T69">
        <v>20</v>
      </c>
      <c r="U69">
        <v>26.65</v>
      </c>
      <c r="AF69">
        <v>20</v>
      </c>
      <c r="AG69">
        <v>28.63</v>
      </c>
    </row>
    <row r="70" spans="1:33" x14ac:dyDescent="0.25">
      <c r="A70">
        <v>40</v>
      </c>
      <c r="B70">
        <v>0.66200000000000003</v>
      </c>
      <c r="C70" t="s">
        <v>2</v>
      </c>
      <c r="D70">
        <v>0.436</v>
      </c>
      <c r="E70">
        <f t="shared" si="2"/>
        <v>34.138972809667678</v>
      </c>
      <c r="I70">
        <v>40</v>
      </c>
      <c r="J70">
        <v>34.130000000000003</v>
      </c>
      <c r="T70">
        <v>40</v>
      </c>
      <c r="U70">
        <v>33.83</v>
      </c>
      <c r="AF70">
        <v>40</v>
      </c>
      <c r="AG70">
        <v>34.44</v>
      </c>
    </row>
    <row r="71" spans="1:33" x14ac:dyDescent="0.25">
      <c r="A71">
        <v>80</v>
      </c>
      <c r="B71">
        <v>0.66200000000000003</v>
      </c>
      <c r="C71" t="s">
        <v>0</v>
      </c>
      <c r="D71">
        <v>0.378</v>
      </c>
      <c r="E71">
        <f t="shared" si="2"/>
        <v>42.90030211480363</v>
      </c>
      <c r="F71">
        <f>AVERAGE(E71:E73)</f>
        <v>42.598187311178251</v>
      </c>
      <c r="G71">
        <f>STDEV(E71:E73)</f>
        <v>0.79932063778386142</v>
      </c>
      <c r="I71">
        <v>80</v>
      </c>
      <c r="J71">
        <v>42.59</v>
      </c>
      <c r="T71">
        <v>80</v>
      </c>
      <c r="U71">
        <v>41.79</v>
      </c>
      <c r="AF71">
        <v>80</v>
      </c>
      <c r="AG71">
        <v>43.39</v>
      </c>
    </row>
    <row r="72" spans="1:33" x14ac:dyDescent="0.25">
      <c r="A72">
        <v>80</v>
      </c>
      <c r="B72">
        <v>0.66200000000000003</v>
      </c>
      <c r="C72" t="s">
        <v>1</v>
      </c>
      <c r="D72">
        <v>0.376</v>
      </c>
      <c r="E72">
        <f t="shared" si="2"/>
        <v>43.202416918429002</v>
      </c>
      <c r="I72">
        <v>160</v>
      </c>
      <c r="J72">
        <v>52.41</v>
      </c>
      <c r="T72">
        <v>160</v>
      </c>
      <c r="U72">
        <v>52.01</v>
      </c>
      <c r="AF72">
        <v>160</v>
      </c>
      <c r="AG72">
        <v>52.81</v>
      </c>
    </row>
    <row r="73" spans="1:33" x14ac:dyDescent="0.25">
      <c r="A73">
        <v>80</v>
      </c>
      <c r="B73">
        <v>0.66200000000000003</v>
      </c>
      <c r="C73" t="s">
        <v>2</v>
      </c>
      <c r="D73">
        <v>0.38600000000000001</v>
      </c>
      <c r="E73">
        <f t="shared" si="2"/>
        <v>41.69184290030212</v>
      </c>
    </row>
    <row r="74" spans="1:33" x14ac:dyDescent="0.25">
      <c r="A74">
        <v>160</v>
      </c>
      <c r="B74">
        <v>0.66200000000000003</v>
      </c>
      <c r="C74" t="s">
        <v>0</v>
      </c>
      <c r="D74">
        <v>0.313</v>
      </c>
      <c r="E74">
        <f t="shared" si="2"/>
        <v>52.719033232628398</v>
      </c>
      <c r="F74">
        <f>AVERAGE(E74:E76)</f>
        <v>52.416918429003026</v>
      </c>
      <c r="G74">
        <f>STDEV(E74:E76)</f>
        <v>0.3996603188919341</v>
      </c>
    </row>
    <row r="75" spans="1:33" x14ac:dyDescent="0.25">
      <c r="A75">
        <v>160</v>
      </c>
      <c r="B75">
        <v>0.66200000000000003</v>
      </c>
      <c r="C75" t="s">
        <v>1</v>
      </c>
      <c r="D75">
        <v>0.314</v>
      </c>
      <c r="E75">
        <f t="shared" si="2"/>
        <v>52.567975830815719</v>
      </c>
      <c r="I75" t="s">
        <v>18</v>
      </c>
      <c r="J75">
        <f>(50-11.852)/0.2966</f>
        <v>128.61766689143627</v>
      </c>
      <c r="T75" t="s">
        <v>17</v>
      </c>
      <c r="U75">
        <f>(50-10.985)/0.2994</f>
        <v>130.31062124248498</v>
      </c>
      <c r="AF75" t="s">
        <v>17</v>
      </c>
      <c r="AG75">
        <f>(50-12.72)/0.2938</f>
        <v>126.88904016337645</v>
      </c>
    </row>
    <row r="76" spans="1:33" x14ac:dyDescent="0.25">
      <c r="A76">
        <v>160</v>
      </c>
      <c r="B76">
        <v>0.66200000000000003</v>
      </c>
      <c r="C76" t="s">
        <v>2</v>
      </c>
      <c r="D76">
        <v>0.318</v>
      </c>
      <c r="E76">
        <f t="shared" si="2"/>
        <v>51.963746223564954</v>
      </c>
    </row>
    <row r="84" spans="1:46" x14ac:dyDescent="0.25">
      <c r="A84" t="s">
        <v>5</v>
      </c>
      <c r="B84" t="s">
        <v>50</v>
      </c>
      <c r="C84" t="s">
        <v>6</v>
      </c>
      <c r="D84" t="s">
        <v>24</v>
      </c>
      <c r="E84" t="s">
        <v>48</v>
      </c>
      <c r="F84" t="s">
        <v>9</v>
      </c>
      <c r="G84" t="s">
        <v>3</v>
      </c>
    </row>
    <row r="85" spans="1:46" x14ac:dyDescent="0.25">
      <c r="A85">
        <v>2.5</v>
      </c>
      <c r="B85">
        <v>0.66200000000000003</v>
      </c>
      <c r="C85" t="s">
        <v>0</v>
      </c>
      <c r="D85">
        <v>0.65700000000000003</v>
      </c>
      <c r="E85">
        <f>(((B85-D85)/B85)*100)</f>
        <v>0.7552870090634447</v>
      </c>
      <c r="F85">
        <f>AVERAGE(E85:E87)</f>
        <v>0.80563947633434108</v>
      </c>
      <c r="G85">
        <f>STDEV(E85:E87)</f>
        <v>0.38015279130265622</v>
      </c>
    </row>
    <row r="86" spans="1:46" x14ac:dyDescent="0.25">
      <c r="A86">
        <v>2.5</v>
      </c>
      <c r="B86">
        <v>0.66200000000000003</v>
      </c>
      <c r="C86" t="s">
        <v>1</v>
      </c>
      <c r="D86">
        <v>0.65400000000000003</v>
      </c>
      <c r="E86">
        <f t="shared" ref="E86:E105" si="3">(((B86-D86)/B86)*100)</f>
        <v>1.2084592145015116</v>
      </c>
    </row>
    <row r="87" spans="1:46" x14ac:dyDescent="0.25">
      <c r="A87">
        <v>2.5</v>
      </c>
      <c r="B87">
        <v>0.66200000000000003</v>
      </c>
      <c r="C87" t="s">
        <v>2</v>
      </c>
      <c r="D87">
        <v>0.65900000000000003</v>
      </c>
      <c r="E87">
        <f t="shared" si="3"/>
        <v>0.45317220543806686</v>
      </c>
    </row>
    <row r="88" spans="1:46" x14ac:dyDescent="0.25">
      <c r="A88">
        <v>5</v>
      </c>
      <c r="B88">
        <v>0.66200000000000003</v>
      </c>
      <c r="C88" t="s">
        <v>0</v>
      </c>
      <c r="D88">
        <v>0.57699999999999996</v>
      </c>
      <c r="E88">
        <f t="shared" si="3"/>
        <v>12.83987915407856</v>
      </c>
      <c r="F88">
        <f>AVERAGE(E88:E90)</f>
        <v>13.343403826787522</v>
      </c>
      <c r="G88">
        <f>STDEV(E88:E90)</f>
        <v>0.46148798539333785</v>
      </c>
    </row>
    <row r="89" spans="1:46" x14ac:dyDescent="0.25">
      <c r="A89">
        <v>5</v>
      </c>
      <c r="B89">
        <v>0.66200000000000003</v>
      </c>
      <c r="C89" t="s">
        <v>1</v>
      </c>
      <c r="D89">
        <v>0.57299999999999995</v>
      </c>
      <c r="E89">
        <f t="shared" si="3"/>
        <v>13.444108761329316</v>
      </c>
    </row>
    <row r="90" spans="1:46" x14ac:dyDescent="0.25">
      <c r="A90">
        <v>5</v>
      </c>
      <c r="B90">
        <v>0.66200000000000003</v>
      </c>
      <c r="C90" t="s">
        <v>2</v>
      </c>
      <c r="D90">
        <v>0.57099999999999995</v>
      </c>
      <c r="E90">
        <f t="shared" si="3"/>
        <v>13.746223564954693</v>
      </c>
    </row>
    <row r="91" spans="1:46" x14ac:dyDescent="0.25">
      <c r="A91">
        <v>10</v>
      </c>
      <c r="B91">
        <v>0.66200000000000003</v>
      </c>
      <c r="C91" t="s">
        <v>0</v>
      </c>
      <c r="D91" s="4">
        <v>0.48499999999999999</v>
      </c>
      <c r="E91">
        <f t="shared" si="3"/>
        <v>26.737160120845928</v>
      </c>
      <c r="F91">
        <f>AVERAGE(E91:E93)</f>
        <v>28.147029204431021</v>
      </c>
      <c r="G91">
        <f>STDEV(E91:E93)</f>
        <v>1.3023682936936094</v>
      </c>
      <c r="I91" s="2" t="s">
        <v>14</v>
      </c>
      <c r="AS91" t="s">
        <v>55</v>
      </c>
      <c r="AT91" t="s">
        <v>3</v>
      </c>
    </row>
    <row r="92" spans="1:46" x14ac:dyDescent="0.25">
      <c r="A92">
        <v>10</v>
      </c>
      <c r="B92">
        <v>0.66200000000000003</v>
      </c>
      <c r="C92" t="s">
        <v>1</v>
      </c>
      <c r="D92" s="4">
        <v>0.47399999999999998</v>
      </c>
      <c r="E92">
        <f t="shared" si="3"/>
        <v>28.398791540785506</v>
      </c>
      <c r="I92" t="s">
        <v>10</v>
      </c>
      <c r="J92" t="s">
        <v>9</v>
      </c>
      <c r="U92" t="s">
        <v>10</v>
      </c>
      <c r="V92" t="s">
        <v>53</v>
      </c>
      <c r="AF92" t="s">
        <v>10</v>
      </c>
      <c r="AG92" t="s">
        <v>54</v>
      </c>
      <c r="AS92">
        <f>(50-21.209)/0.3503</f>
        <v>82.189551812731949</v>
      </c>
      <c r="AT92">
        <f>STDEV(AS92:AS94)</f>
        <v>2.3973722166387295</v>
      </c>
    </row>
    <row r="93" spans="1:46" x14ac:dyDescent="0.25">
      <c r="A93">
        <v>10</v>
      </c>
      <c r="B93">
        <v>0.66200000000000003</v>
      </c>
      <c r="C93" t="s">
        <v>2</v>
      </c>
      <c r="D93" s="4">
        <v>0.46800000000000003</v>
      </c>
      <c r="E93">
        <f t="shared" si="3"/>
        <v>29.305135951661633</v>
      </c>
      <c r="I93">
        <v>2.5</v>
      </c>
      <c r="J93">
        <v>0.8</v>
      </c>
      <c r="U93">
        <v>2.5</v>
      </c>
      <c r="V93">
        <v>0.42</v>
      </c>
      <c r="AF93">
        <v>2.5</v>
      </c>
      <c r="AG93">
        <v>1.18</v>
      </c>
      <c r="AS93">
        <f>(50-20.493)/0.3488</f>
        <v>84.595756880733944</v>
      </c>
    </row>
    <row r="94" spans="1:46" x14ac:dyDescent="0.25">
      <c r="A94">
        <v>20</v>
      </c>
      <c r="B94">
        <v>0.66200000000000003</v>
      </c>
      <c r="C94" t="s">
        <v>0</v>
      </c>
      <c r="D94" s="4">
        <v>0.39600000000000002</v>
      </c>
      <c r="E94">
        <f t="shared" si="3"/>
        <v>40.181268882175225</v>
      </c>
      <c r="F94">
        <f>AVERAGE(E94:E96)</f>
        <v>40.835850956696881</v>
      </c>
      <c r="G94">
        <f>STDEV(E94:E96)</f>
        <v>1.0057897459938661</v>
      </c>
      <c r="I94">
        <v>5</v>
      </c>
      <c r="J94">
        <v>13.34</v>
      </c>
      <c r="U94">
        <v>5</v>
      </c>
      <c r="V94">
        <v>12.88</v>
      </c>
      <c r="AF94">
        <v>5</v>
      </c>
      <c r="AG94">
        <v>13.8</v>
      </c>
      <c r="AS94">
        <f>(50-21.926)/0.3518</f>
        <v>79.801023308698134</v>
      </c>
    </row>
    <row r="95" spans="1:46" x14ac:dyDescent="0.25">
      <c r="A95">
        <v>20</v>
      </c>
      <c r="B95">
        <v>0.66200000000000003</v>
      </c>
      <c r="C95" t="s">
        <v>1</v>
      </c>
      <c r="D95" s="4">
        <v>0.39500000000000002</v>
      </c>
      <c r="E95">
        <f t="shared" si="3"/>
        <v>40.332326283987918</v>
      </c>
      <c r="I95">
        <v>10</v>
      </c>
      <c r="J95">
        <v>28.14</v>
      </c>
      <c r="U95">
        <v>10</v>
      </c>
      <c r="V95">
        <v>26.84</v>
      </c>
      <c r="AF95">
        <v>10</v>
      </c>
      <c r="AG95">
        <v>29.44</v>
      </c>
    </row>
    <row r="96" spans="1:46" x14ac:dyDescent="0.25">
      <c r="A96">
        <v>20</v>
      </c>
      <c r="B96">
        <v>0.66200000000000003</v>
      </c>
      <c r="C96" t="s">
        <v>2</v>
      </c>
      <c r="D96" s="4">
        <v>0.38400000000000001</v>
      </c>
      <c r="E96">
        <f t="shared" si="3"/>
        <v>41.993957703927492</v>
      </c>
      <c r="I96">
        <v>20</v>
      </c>
      <c r="J96">
        <v>40.83</v>
      </c>
      <c r="U96">
        <v>20</v>
      </c>
      <c r="V96">
        <v>39.83</v>
      </c>
      <c r="AF96">
        <v>20</v>
      </c>
      <c r="AG96">
        <v>41.84</v>
      </c>
    </row>
    <row r="97" spans="1:33" x14ac:dyDescent="0.25">
      <c r="A97">
        <v>40</v>
      </c>
      <c r="B97">
        <v>0.66200000000000003</v>
      </c>
      <c r="C97" t="s">
        <v>0</v>
      </c>
      <c r="D97" s="4">
        <v>0.34300000000000003</v>
      </c>
      <c r="E97">
        <f t="shared" si="3"/>
        <v>48.187311178247732</v>
      </c>
      <c r="F97">
        <f>AVERAGE(E97:E99)</f>
        <v>48.288016112789535</v>
      </c>
      <c r="G97">
        <f>STDEV(E97:E99)</f>
        <v>0.61049122119748578</v>
      </c>
      <c r="I97">
        <v>40</v>
      </c>
      <c r="J97">
        <v>48.28</v>
      </c>
      <c r="U97">
        <v>40</v>
      </c>
      <c r="V97">
        <v>47.67</v>
      </c>
      <c r="AF97">
        <v>40</v>
      </c>
      <c r="AG97">
        <v>48.89</v>
      </c>
    </row>
    <row r="98" spans="1:33" x14ac:dyDescent="0.25">
      <c r="A98">
        <v>40</v>
      </c>
      <c r="B98">
        <v>0.66200000000000003</v>
      </c>
      <c r="C98" t="s">
        <v>1</v>
      </c>
      <c r="D98" s="4">
        <v>0.33800000000000002</v>
      </c>
      <c r="E98">
        <f t="shared" si="3"/>
        <v>48.942598187311177</v>
      </c>
      <c r="I98">
        <v>80</v>
      </c>
      <c r="J98">
        <v>61.68</v>
      </c>
      <c r="U98">
        <v>80</v>
      </c>
      <c r="V98">
        <v>60.92</v>
      </c>
      <c r="AF98">
        <v>80</v>
      </c>
      <c r="AG98">
        <v>62.44</v>
      </c>
    </row>
    <row r="99" spans="1:33" x14ac:dyDescent="0.25">
      <c r="A99">
        <v>40</v>
      </c>
      <c r="B99">
        <v>0.66200000000000003</v>
      </c>
      <c r="C99" t="s">
        <v>2</v>
      </c>
      <c r="D99" s="4">
        <v>0.34599999999999997</v>
      </c>
      <c r="E99">
        <f t="shared" si="3"/>
        <v>47.734138972809674</v>
      </c>
      <c r="I99">
        <v>160</v>
      </c>
      <c r="J99">
        <v>66.61</v>
      </c>
      <c r="U99">
        <v>160</v>
      </c>
      <c r="V99">
        <v>65.62</v>
      </c>
      <c r="AF99">
        <v>160</v>
      </c>
      <c r="AG99">
        <v>67.599999999999994</v>
      </c>
    </row>
    <row r="100" spans="1:33" x14ac:dyDescent="0.25">
      <c r="A100">
        <v>80</v>
      </c>
      <c r="B100">
        <v>0.66200000000000003</v>
      </c>
      <c r="C100" t="s">
        <v>0</v>
      </c>
      <c r="D100" s="4">
        <v>0.25900000000000001</v>
      </c>
      <c r="E100">
        <f t="shared" si="3"/>
        <v>60.876132930513592</v>
      </c>
      <c r="F100">
        <f>AVERAGE(E100:E102)</f>
        <v>61.681772406847927</v>
      </c>
      <c r="G100">
        <f>STDEV(E100:E102)</f>
        <v>0.76030558260531256</v>
      </c>
    </row>
    <row r="101" spans="1:33" x14ac:dyDescent="0.25">
      <c r="A101">
        <v>80</v>
      </c>
      <c r="B101">
        <v>0.66200000000000003</v>
      </c>
      <c r="C101" t="s">
        <v>1</v>
      </c>
      <c r="D101" s="4">
        <v>0.253</v>
      </c>
      <c r="E101">
        <f t="shared" si="3"/>
        <v>61.782477341389729</v>
      </c>
    </row>
    <row r="102" spans="1:33" x14ac:dyDescent="0.25">
      <c r="A102">
        <v>80</v>
      </c>
      <c r="B102">
        <v>0.66200000000000003</v>
      </c>
      <c r="C102" t="s">
        <v>2</v>
      </c>
      <c r="D102" s="4">
        <v>0.249</v>
      </c>
      <c r="E102">
        <f t="shared" si="3"/>
        <v>62.38670694864048</v>
      </c>
      <c r="I102" t="s">
        <v>18</v>
      </c>
      <c r="J102">
        <f>(50-21.209)/0.3503</f>
        <v>82.189551812731949</v>
      </c>
      <c r="U102" t="s">
        <v>17</v>
      </c>
      <c r="V102">
        <f>(50-20.493)/0.3488</f>
        <v>84.595756880733944</v>
      </c>
      <c r="AF102" t="s">
        <v>17</v>
      </c>
      <c r="AG102">
        <f>(50-21.926)/0.3518</f>
        <v>79.801023308698134</v>
      </c>
    </row>
    <row r="103" spans="1:33" x14ac:dyDescent="0.25">
      <c r="A103">
        <v>160</v>
      </c>
      <c r="B103">
        <v>0.66200000000000003</v>
      </c>
      <c r="C103" t="s">
        <v>0</v>
      </c>
      <c r="D103" s="4">
        <v>0.222</v>
      </c>
      <c r="E103">
        <f t="shared" si="3"/>
        <v>66.465256797583081</v>
      </c>
      <c r="F103">
        <f>AVERAGE(E103:E105)</f>
        <v>66.616314199395774</v>
      </c>
      <c r="G103">
        <f>STDEV(E103:E105)</f>
        <v>0.99054962602749252</v>
      </c>
    </row>
    <row r="104" spans="1:33" x14ac:dyDescent="0.25">
      <c r="A104">
        <v>160</v>
      </c>
      <c r="B104">
        <v>0.66200000000000003</v>
      </c>
      <c r="C104" t="s">
        <v>1</v>
      </c>
      <c r="D104" s="4">
        <v>0.22700000000000001</v>
      </c>
      <c r="E104">
        <f t="shared" si="3"/>
        <v>65.709969788519643</v>
      </c>
    </row>
    <row r="105" spans="1:33" x14ac:dyDescent="0.25">
      <c r="A105">
        <v>160</v>
      </c>
      <c r="B105">
        <v>0.66200000000000003</v>
      </c>
      <c r="C105" t="s">
        <v>2</v>
      </c>
      <c r="D105" s="4">
        <v>0.214</v>
      </c>
      <c r="E105">
        <f t="shared" si="3"/>
        <v>67.673716012084597</v>
      </c>
    </row>
    <row r="114" spans="1:46" x14ac:dyDescent="0.25">
      <c r="A114" t="s">
        <v>5</v>
      </c>
      <c r="B114" t="s">
        <v>50</v>
      </c>
      <c r="C114" t="s">
        <v>6</v>
      </c>
      <c r="D114" t="s">
        <v>24</v>
      </c>
      <c r="E114" t="s">
        <v>48</v>
      </c>
      <c r="F114" t="s">
        <v>9</v>
      </c>
      <c r="G114" t="s">
        <v>3</v>
      </c>
    </row>
    <row r="115" spans="1:46" x14ac:dyDescent="0.25">
      <c r="A115">
        <v>2.5</v>
      </c>
      <c r="B115">
        <v>0.66200000000000003</v>
      </c>
      <c r="C115" t="s">
        <v>0</v>
      </c>
      <c r="D115">
        <v>0.64700000000000002</v>
      </c>
      <c r="E115">
        <f>(((B115-D115)/B115)*100)</f>
        <v>2.2658610271903341</v>
      </c>
      <c r="F115">
        <f>AVERAGE(E115:E117)</f>
        <v>3.1722054380664679</v>
      </c>
      <c r="G115">
        <f>STDEV(E115:E117)</f>
        <v>2.3979619133515953</v>
      </c>
    </row>
    <row r="116" spans="1:46" x14ac:dyDescent="0.25">
      <c r="A116">
        <v>2.5</v>
      </c>
      <c r="B116">
        <v>0.66200000000000003</v>
      </c>
      <c r="C116" t="s">
        <v>1</v>
      </c>
      <c r="D116">
        <v>0.623</v>
      </c>
      <c r="E116">
        <f t="shared" ref="E116:E134" si="4">(((B116-D116)/B116)*100)</f>
        <v>5.891238670694869</v>
      </c>
    </row>
    <row r="117" spans="1:46" x14ac:dyDescent="0.25">
      <c r="A117">
        <v>2.5</v>
      </c>
      <c r="B117">
        <v>0.66200000000000003</v>
      </c>
      <c r="C117" t="s">
        <v>2</v>
      </c>
      <c r="D117">
        <v>0.65300000000000002</v>
      </c>
      <c r="E117">
        <f t="shared" si="4"/>
        <v>1.3595166163142005</v>
      </c>
    </row>
    <row r="118" spans="1:46" x14ac:dyDescent="0.25">
      <c r="A118">
        <v>5</v>
      </c>
      <c r="B118">
        <v>0.66200000000000003</v>
      </c>
      <c r="C118" t="s">
        <v>0</v>
      </c>
      <c r="D118">
        <v>0.57799999999999996</v>
      </c>
      <c r="E118">
        <f t="shared" si="4"/>
        <v>12.688821752265872</v>
      </c>
      <c r="F118">
        <f>AVERAGE(E118:E120)</f>
        <v>13.393756294058415</v>
      </c>
      <c r="G118">
        <f>STDEV(E118:E120)</f>
        <v>2.3466626782942686</v>
      </c>
    </row>
    <row r="119" spans="1:46" x14ac:dyDescent="0.25">
      <c r="A119">
        <v>5</v>
      </c>
      <c r="B119">
        <v>0.66200000000000003</v>
      </c>
      <c r="C119" t="s">
        <v>1</v>
      </c>
      <c r="D119">
        <v>0.55600000000000005</v>
      </c>
      <c r="E119">
        <f t="shared" si="4"/>
        <v>16.012084592145012</v>
      </c>
    </row>
    <row r="120" spans="1:46" x14ac:dyDescent="0.25">
      <c r="A120">
        <v>5</v>
      </c>
      <c r="B120">
        <v>0.66200000000000003</v>
      </c>
      <c r="C120" t="s">
        <v>2</v>
      </c>
      <c r="D120">
        <v>0.58599999999999997</v>
      </c>
      <c r="E120">
        <f t="shared" si="4"/>
        <v>11.480362537764361</v>
      </c>
      <c r="AS120" t="s">
        <v>55</v>
      </c>
      <c r="AT120" t="s">
        <v>3</v>
      </c>
    </row>
    <row r="121" spans="1:46" x14ac:dyDescent="0.25">
      <c r="A121">
        <v>10</v>
      </c>
      <c r="B121">
        <v>0.66200000000000003</v>
      </c>
      <c r="C121" t="s">
        <v>0</v>
      </c>
      <c r="D121" s="4">
        <v>0.47399999999999998</v>
      </c>
      <c r="E121">
        <f t="shared" si="4"/>
        <v>28.398791540785506</v>
      </c>
      <c r="F121">
        <f>AVERAGE(E121:E123)</f>
        <v>27.995971802618332</v>
      </c>
      <c r="G121">
        <f>STDEV(E121:E123)</f>
        <v>0.38015279130265628</v>
      </c>
      <c r="I121" s="2" t="s">
        <v>13</v>
      </c>
      <c r="AS121">
        <f>(50-19.919)/0.3255</f>
        <v>92.41474654377879</v>
      </c>
      <c r="AT121">
        <f>STDEV(AS121:AS123)</f>
        <v>2.7166554159028475</v>
      </c>
    </row>
    <row r="122" spans="1:46" x14ac:dyDescent="0.25">
      <c r="A122">
        <v>10</v>
      </c>
      <c r="B122">
        <v>0.66200000000000003</v>
      </c>
      <c r="C122" t="s">
        <v>1</v>
      </c>
      <c r="D122">
        <v>0.47699999999999998</v>
      </c>
      <c r="E122">
        <f t="shared" si="4"/>
        <v>27.945619335347438</v>
      </c>
      <c r="I122" t="s">
        <v>10</v>
      </c>
      <c r="J122" t="s">
        <v>9</v>
      </c>
      <c r="U122" t="s">
        <v>10</v>
      </c>
      <c r="V122" t="s">
        <v>53</v>
      </c>
      <c r="AF122" t="s">
        <v>10</v>
      </c>
      <c r="AG122" t="s">
        <v>54</v>
      </c>
      <c r="AS122">
        <f>(50-18.517)/0.3311</f>
        <v>95.086076713983687</v>
      </c>
    </row>
    <row r="123" spans="1:46" x14ac:dyDescent="0.25">
      <c r="A123">
        <v>10</v>
      </c>
      <c r="B123">
        <v>0.66200000000000003</v>
      </c>
      <c r="C123" t="s">
        <v>2</v>
      </c>
      <c r="D123" s="4">
        <v>0.47899999999999998</v>
      </c>
      <c r="E123">
        <f t="shared" si="4"/>
        <v>27.643504531722062</v>
      </c>
      <c r="I123">
        <v>2.5</v>
      </c>
      <c r="J123">
        <v>3.17</v>
      </c>
      <c r="U123">
        <v>2.5</v>
      </c>
      <c r="V123">
        <v>0.77</v>
      </c>
      <c r="AF123">
        <v>2.5</v>
      </c>
      <c r="AG123">
        <v>5.57</v>
      </c>
      <c r="AS123">
        <f>(50-21.32)/0.3199</f>
        <v>89.653016567677398</v>
      </c>
    </row>
    <row r="124" spans="1:46" x14ac:dyDescent="0.25">
      <c r="A124">
        <v>20</v>
      </c>
      <c r="B124">
        <v>0.66200000000000003</v>
      </c>
      <c r="C124" t="s">
        <v>0</v>
      </c>
      <c r="D124" s="4">
        <v>0.42699999999999999</v>
      </c>
      <c r="E124">
        <f t="shared" si="4"/>
        <v>35.49848942598188</v>
      </c>
      <c r="F124">
        <f>AVERAGE(E124:E126)</f>
        <v>35.750251762336354</v>
      </c>
      <c r="G124">
        <f>STDEV(E124:E126)</f>
        <v>0.43606515799820278</v>
      </c>
      <c r="I124">
        <v>5</v>
      </c>
      <c r="J124">
        <v>13.39</v>
      </c>
      <c r="U124">
        <v>5</v>
      </c>
      <c r="V124">
        <v>11.04</v>
      </c>
      <c r="AF124">
        <v>5</v>
      </c>
      <c r="AG124">
        <v>15.74</v>
      </c>
    </row>
    <row r="125" spans="1:46" x14ac:dyDescent="0.25">
      <c r="A125">
        <v>20</v>
      </c>
      <c r="B125">
        <v>0.66200000000000003</v>
      </c>
      <c r="C125" t="s">
        <v>1</v>
      </c>
      <c r="D125" s="4">
        <v>0.42199999999999999</v>
      </c>
      <c r="E125">
        <f t="shared" si="4"/>
        <v>36.253776435045317</v>
      </c>
      <c r="I125">
        <v>10</v>
      </c>
      <c r="J125">
        <v>27.99</v>
      </c>
      <c r="U125">
        <v>10</v>
      </c>
      <c r="V125">
        <v>27.61</v>
      </c>
      <c r="AF125">
        <v>10</v>
      </c>
      <c r="AG125">
        <v>28.37</v>
      </c>
    </row>
    <row r="126" spans="1:46" x14ac:dyDescent="0.25">
      <c r="A126">
        <v>20</v>
      </c>
      <c r="B126">
        <v>0.66200000000000003</v>
      </c>
      <c r="C126" t="s">
        <v>2</v>
      </c>
      <c r="D126">
        <v>0.42699999999999999</v>
      </c>
      <c r="E126">
        <f t="shared" si="4"/>
        <v>35.49848942598188</v>
      </c>
      <c r="I126">
        <v>20</v>
      </c>
      <c r="J126">
        <v>35.75</v>
      </c>
      <c r="U126">
        <v>20</v>
      </c>
      <c r="V126">
        <v>35.31</v>
      </c>
      <c r="AF126">
        <v>20</v>
      </c>
      <c r="AG126">
        <v>36.18</v>
      </c>
    </row>
    <row r="127" spans="1:46" x14ac:dyDescent="0.25">
      <c r="A127">
        <v>40</v>
      </c>
      <c r="B127">
        <v>0.66200000000000003</v>
      </c>
      <c r="C127" t="s">
        <v>0</v>
      </c>
      <c r="D127" s="4">
        <v>0.38300000000000001</v>
      </c>
      <c r="E127">
        <f t="shared" si="4"/>
        <v>42.145015105740185</v>
      </c>
      <c r="F127">
        <f>AVERAGE(E127:E129)</f>
        <v>42.346424974823769</v>
      </c>
      <c r="G127">
        <f>STDEV(E127:E129)</f>
        <v>1.0716916744105167</v>
      </c>
      <c r="I127">
        <v>40</v>
      </c>
      <c r="J127">
        <v>42.34</v>
      </c>
      <c r="U127">
        <v>40</v>
      </c>
      <c r="V127">
        <v>41.27</v>
      </c>
      <c r="AF127">
        <v>40</v>
      </c>
      <c r="AG127">
        <v>43.41</v>
      </c>
    </row>
    <row r="128" spans="1:46" x14ac:dyDescent="0.25">
      <c r="A128">
        <v>40</v>
      </c>
      <c r="B128">
        <v>0.66200000000000003</v>
      </c>
      <c r="C128" t="s">
        <v>1</v>
      </c>
      <c r="D128" s="4">
        <v>0.38800000000000001</v>
      </c>
      <c r="E128">
        <f t="shared" si="4"/>
        <v>41.389728096676734</v>
      </c>
      <c r="I128">
        <v>80</v>
      </c>
      <c r="J128">
        <v>56.89</v>
      </c>
      <c r="U128">
        <v>80</v>
      </c>
      <c r="V128">
        <v>56.36</v>
      </c>
      <c r="AF128">
        <v>80</v>
      </c>
      <c r="AG128">
        <v>57.42</v>
      </c>
    </row>
    <row r="129" spans="1:33" x14ac:dyDescent="0.25">
      <c r="A129">
        <v>40</v>
      </c>
      <c r="B129">
        <v>0.66200000000000003</v>
      </c>
      <c r="C129" t="s">
        <v>2</v>
      </c>
      <c r="D129" s="4">
        <v>0.374</v>
      </c>
      <c r="E129">
        <f t="shared" si="4"/>
        <v>43.504531722054388</v>
      </c>
      <c r="I129">
        <v>160</v>
      </c>
      <c r="J129">
        <v>63.24</v>
      </c>
      <c r="U129">
        <v>160</v>
      </c>
      <c r="V129">
        <v>62.38</v>
      </c>
      <c r="AF129">
        <v>160</v>
      </c>
      <c r="AG129">
        <v>64.099999999999994</v>
      </c>
    </row>
    <row r="130" spans="1:33" x14ac:dyDescent="0.25">
      <c r="A130">
        <v>80</v>
      </c>
      <c r="B130">
        <v>0.66200000000000003</v>
      </c>
      <c r="C130" t="s">
        <v>0</v>
      </c>
      <c r="D130" s="4">
        <v>0.28899999999999998</v>
      </c>
      <c r="E130">
        <f t="shared" si="4"/>
        <v>56.344410876132933</v>
      </c>
      <c r="F130">
        <f>AVERAGE(E130:E132)</f>
        <v>56.898288016112794</v>
      </c>
      <c r="G130">
        <f>STDEV(E130:E132)</f>
        <v>0.53049616076801731</v>
      </c>
    </row>
    <row r="131" spans="1:33" x14ac:dyDescent="0.25">
      <c r="A131">
        <v>80</v>
      </c>
      <c r="B131">
        <v>0.66200000000000003</v>
      </c>
      <c r="C131" t="s">
        <v>1</v>
      </c>
      <c r="D131" s="4">
        <v>0.28499999999999998</v>
      </c>
      <c r="E131">
        <f t="shared" si="4"/>
        <v>56.948640483383691</v>
      </c>
    </row>
    <row r="132" spans="1:33" x14ac:dyDescent="0.25">
      <c r="A132">
        <v>80</v>
      </c>
      <c r="B132">
        <v>0.66200000000000003</v>
      </c>
      <c r="C132" t="s">
        <v>2</v>
      </c>
      <c r="D132" s="4">
        <v>0.28199999999999997</v>
      </c>
      <c r="E132">
        <f t="shared" si="4"/>
        <v>57.401812688821764</v>
      </c>
      <c r="I132" t="s">
        <v>18</v>
      </c>
      <c r="J132">
        <f>(50-19.919)/0.3255</f>
        <v>92.41474654377879</v>
      </c>
      <c r="U132" t="s">
        <v>17</v>
      </c>
      <c r="V132">
        <f>(50-18.517)/0.3311</f>
        <v>95.086076713983687</v>
      </c>
      <c r="AF132" t="s">
        <v>17</v>
      </c>
      <c r="AG132">
        <f>(50-21.32)/0.3199</f>
        <v>89.653016567677398</v>
      </c>
    </row>
    <row r="133" spans="1:33" x14ac:dyDescent="0.25">
      <c r="A133">
        <v>160</v>
      </c>
      <c r="B133">
        <v>0.66200000000000003</v>
      </c>
      <c r="C133" t="s">
        <v>0</v>
      </c>
      <c r="D133">
        <v>0.245</v>
      </c>
      <c r="E133">
        <f t="shared" si="4"/>
        <v>62.990936555891238</v>
      </c>
      <c r="F133">
        <f>AVERAGE(E133:E135)</f>
        <v>63.24269889224572</v>
      </c>
      <c r="G133">
        <f>STDEV(E133:E135)</f>
        <v>0.85894874668842069</v>
      </c>
    </row>
    <row r="134" spans="1:33" x14ac:dyDescent="0.25">
      <c r="A134">
        <v>160</v>
      </c>
      <c r="B134">
        <v>0.66200000000000003</v>
      </c>
      <c r="C134" t="s">
        <v>1</v>
      </c>
      <c r="D134">
        <v>0.248</v>
      </c>
      <c r="E134">
        <f t="shared" si="4"/>
        <v>62.537764350453173</v>
      </c>
    </row>
    <row r="135" spans="1:33" x14ac:dyDescent="0.25">
      <c r="A135">
        <v>160</v>
      </c>
      <c r="B135">
        <v>0.66200000000000003</v>
      </c>
      <c r="C135" t="s">
        <v>2</v>
      </c>
      <c r="D135">
        <v>0.23699999999999999</v>
      </c>
      <c r="E135">
        <f>(((B135-D135)/B135)*100)</f>
        <v>64.199395770392755</v>
      </c>
    </row>
    <row r="146" spans="1:46" x14ac:dyDescent="0.25">
      <c r="A146" t="s">
        <v>5</v>
      </c>
      <c r="B146" t="s">
        <v>50</v>
      </c>
      <c r="C146" t="s">
        <v>6</v>
      </c>
      <c r="D146" t="s">
        <v>24</v>
      </c>
      <c r="E146" t="s">
        <v>48</v>
      </c>
      <c r="F146" t="s">
        <v>9</v>
      </c>
      <c r="G146" t="s">
        <v>3</v>
      </c>
    </row>
    <row r="147" spans="1:46" x14ac:dyDescent="0.25">
      <c r="A147">
        <v>2.5</v>
      </c>
      <c r="B147">
        <v>0.66200000000000003</v>
      </c>
      <c r="C147" t="s">
        <v>0</v>
      </c>
      <c r="D147">
        <v>0.65700000000000003</v>
      </c>
      <c r="E147">
        <f>(((B147-D147)/B147)*100)</f>
        <v>0.7552870090634447</v>
      </c>
      <c r="F147">
        <f>AVERAGE(E147:E149)</f>
        <v>0.80563947633434108</v>
      </c>
      <c r="G147">
        <f>STDEV(E147:E149)</f>
        <v>0.23074399269666893</v>
      </c>
    </row>
    <row r="148" spans="1:46" x14ac:dyDescent="0.25">
      <c r="A148">
        <v>2.5</v>
      </c>
      <c r="B148">
        <v>0.66200000000000003</v>
      </c>
      <c r="C148" t="s">
        <v>1</v>
      </c>
      <c r="D148">
        <v>0.65800000000000003</v>
      </c>
      <c r="E148">
        <f t="shared" ref="E148:E167" si="5">(((B148-D148)/B148)*100)</f>
        <v>0.60422960725075581</v>
      </c>
    </row>
    <row r="149" spans="1:46" x14ac:dyDescent="0.25">
      <c r="A149">
        <v>2.5</v>
      </c>
      <c r="B149">
        <v>0.66200000000000003</v>
      </c>
      <c r="C149" t="s">
        <v>2</v>
      </c>
      <c r="D149">
        <v>0.65500000000000003</v>
      </c>
      <c r="E149">
        <f t="shared" si="5"/>
        <v>1.0574018126888227</v>
      </c>
    </row>
    <row r="150" spans="1:46" x14ac:dyDescent="0.25">
      <c r="A150">
        <v>5</v>
      </c>
      <c r="B150">
        <v>0.66200000000000003</v>
      </c>
      <c r="C150" t="s">
        <v>0</v>
      </c>
      <c r="D150">
        <v>0.61399999999999999</v>
      </c>
      <c r="E150">
        <f t="shared" si="5"/>
        <v>7.2507552870090697</v>
      </c>
      <c r="F150">
        <f>AVERAGE(E150:E152)</f>
        <v>7.2004028197381729</v>
      </c>
      <c r="G150">
        <f>STDEV(E150:E152)</f>
        <v>0.23074399269666893</v>
      </c>
    </row>
    <row r="151" spans="1:46" x14ac:dyDescent="0.25">
      <c r="A151">
        <v>5</v>
      </c>
      <c r="B151">
        <v>0.66200000000000003</v>
      </c>
      <c r="C151" t="s">
        <v>1</v>
      </c>
      <c r="D151">
        <v>0.61299999999999999</v>
      </c>
      <c r="E151">
        <f t="shared" si="5"/>
        <v>7.4018126888217584</v>
      </c>
    </row>
    <row r="152" spans="1:46" x14ac:dyDescent="0.25">
      <c r="A152">
        <v>5</v>
      </c>
      <c r="B152">
        <v>0.66200000000000003</v>
      </c>
      <c r="C152" t="s">
        <v>2</v>
      </c>
      <c r="D152">
        <v>0.61599999999999999</v>
      </c>
      <c r="E152">
        <f t="shared" si="5"/>
        <v>6.9486404833836914</v>
      </c>
      <c r="I152" s="2" t="s">
        <v>12</v>
      </c>
      <c r="AS152" t="s">
        <v>55</v>
      </c>
      <c r="AT152" t="s">
        <v>3</v>
      </c>
    </row>
    <row r="153" spans="1:46" x14ac:dyDescent="0.25">
      <c r="A153">
        <v>10</v>
      </c>
      <c r="B153">
        <v>0.66200000000000003</v>
      </c>
      <c r="C153" t="s">
        <v>0</v>
      </c>
      <c r="D153">
        <v>0.58699999999999997</v>
      </c>
      <c r="E153">
        <f t="shared" si="5"/>
        <v>11.329305135951671</v>
      </c>
      <c r="F153">
        <f>AVERAGE(E153:E155)</f>
        <v>11.530715005035256</v>
      </c>
      <c r="G153">
        <f>STDEV(E153:E155)</f>
        <v>0.48558160931485139</v>
      </c>
      <c r="I153" t="s">
        <v>10</v>
      </c>
      <c r="J153" t="s">
        <v>9</v>
      </c>
      <c r="U153" t="s">
        <v>10</v>
      </c>
      <c r="V153" t="s">
        <v>53</v>
      </c>
      <c r="AF153" t="s">
        <v>10</v>
      </c>
      <c r="AG153" t="s">
        <v>54</v>
      </c>
      <c r="AS153">
        <f>(50-12.658)/0.2653</f>
        <v>140.75386355069733</v>
      </c>
      <c r="AT153">
        <f>STDEV(AS153:AS155)</f>
        <v>1.8439408333758704</v>
      </c>
    </row>
    <row r="154" spans="1:46" x14ac:dyDescent="0.25">
      <c r="A154">
        <v>10</v>
      </c>
      <c r="B154">
        <v>0.66200000000000003</v>
      </c>
      <c r="C154" t="s">
        <v>1</v>
      </c>
      <c r="D154">
        <v>0.58799999999999997</v>
      </c>
      <c r="E154">
        <f t="shared" si="5"/>
        <v>11.178247734138983</v>
      </c>
      <c r="I154">
        <v>2.5</v>
      </c>
      <c r="J154">
        <v>0.8</v>
      </c>
      <c r="U154">
        <v>2.5</v>
      </c>
      <c r="V154">
        <v>0.57699999999999996</v>
      </c>
      <c r="AF154">
        <v>2.5</v>
      </c>
      <c r="AG154">
        <v>1.03</v>
      </c>
      <c r="AS154">
        <f>(50-12.111)/0.2657</f>
        <v>142.60067745577717</v>
      </c>
    </row>
    <row r="155" spans="1:46" x14ac:dyDescent="0.25">
      <c r="A155">
        <v>10</v>
      </c>
      <c r="B155">
        <v>0.66200000000000003</v>
      </c>
      <c r="C155" t="s">
        <v>2</v>
      </c>
      <c r="D155">
        <v>0.58199999999999996</v>
      </c>
      <c r="E155">
        <f t="shared" si="5"/>
        <v>12.084592145015115</v>
      </c>
      <c r="I155">
        <v>5</v>
      </c>
      <c r="J155">
        <v>7.2</v>
      </c>
      <c r="U155">
        <v>5</v>
      </c>
      <c r="V155">
        <v>6.96</v>
      </c>
      <c r="AF155">
        <v>5</v>
      </c>
      <c r="AG155">
        <v>7.43</v>
      </c>
      <c r="AS155">
        <f>(50-13.202)/0.2649</f>
        <v>138.91279728199319</v>
      </c>
    </row>
    <row r="156" spans="1:46" x14ac:dyDescent="0.25">
      <c r="A156">
        <v>20</v>
      </c>
      <c r="B156">
        <v>0.66200000000000003</v>
      </c>
      <c r="C156" t="s">
        <v>0</v>
      </c>
      <c r="D156">
        <v>0.46200000000000002</v>
      </c>
      <c r="E156">
        <f t="shared" si="5"/>
        <v>30.211480362537763</v>
      </c>
      <c r="F156">
        <f>AVERAGE(E156:E158)</f>
        <v>28.952668680765367</v>
      </c>
      <c r="G156">
        <f>STDEV(E156:E158)</f>
        <v>1.2116021566481285</v>
      </c>
      <c r="I156">
        <v>10</v>
      </c>
      <c r="J156">
        <v>11.53</v>
      </c>
      <c r="U156">
        <v>10</v>
      </c>
      <c r="V156">
        <v>11.04</v>
      </c>
      <c r="AF156">
        <v>10</v>
      </c>
      <c r="AG156">
        <v>12.01</v>
      </c>
    </row>
    <row r="157" spans="1:46" x14ac:dyDescent="0.25">
      <c r="A157">
        <v>20</v>
      </c>
      <c r="B157">
        <v>0.66200000000000003</v>
      </c>
      <c r="C157" t="s">
        <v>1</v>
      </c>
      <c r="D157">
        <v>0.47799999999999998</v>
      </c>
      <c r="E157">
        <f t="shared" si="5"/>
        <v>27.794561933534752</v>
      </c>
      <c r="I157">
        <v>20</v>
      </c>
      <c r="J157">
        <v>28.95</v>
      </c>
      <c r="U157">
        <v>20</v>
      </c>
      <c r="V157">
        <v>27.74</v>
      </c>
      <c r="AF157">
        <v>20</v>
      </c>
      <c r="AG157">
        <v>30.16</v>
      </c>
    </row>
    <row r="158" spans="1:46" x14ac:dyDescent="0.25">
      <c r="A158">
        <v>20</v>
      </c>
      <c r="B158">
        <v>0.66200000000000003</v>
      </c>
      <c r="C158" t="s">
        <v>2</v>
      </c>
      <c r="D158">
        <v>0.47099999999999997</v>
      </c>
      <c r="E158">
        <f t="shared" si="5"/>
        <v>28.851963746223575</v>
      </c>
      <c r="I158">
        <v>40</v>
      </c>
      <c r="J158">
        <v>35.340000000000003</v>
      </c>
      <c r="U158">
        <v>40</v>
      </c>
      <c r="V158">
        <v>35.19</v>
      </c>
      <c r="AF158">
        <v>40</v>
      </c>
      <c r="AG158">
        <v>35.49</v>
      </c>
    </row>
    <row r="159" spans="1:46" x14ac:dyDescent="0.25">
      <c r="A159">
        <v>40</v>
      </c>
      <c r="B159">
        <v>0.66200000000000003</v>
      </c>
      <c r="C159" t="s">
        <v>0</v>
      </c>
      <c r="D159">
        <v>0.42699999999999999</v>
      </c>
      <c r="E159">
        <f t="shared" si="5"/>
        <v>35.49848942598188</v>
      </c>
      <c r="F159">
        <f>AVERAGE(E159:E161)</f>
        <v>35.347432024169187</v>
      </c>
      <c r="G159">
        <f>STDEV(E159:E161)</f>
        <v>0.15105740181268956</v>
      </c>
      <c r="I159">
        <v>80</v>
      </c>
      <c r="J159">
        <v>41.44</v>
      </c>
      <c r="U159">
        <v>80</v>
      </c>
      <c r="V159">
        <v>40.200000000000003</v>
      </c>
      <c r="AF159">
        <v>80</v>
      </c>
      <c r="AG159">
        <v>42.67</v>
      </c>
    </row>
    <row r="160" spans="1:46" x14ac:dyDescent="0.25">
      <c r="A160">
        <v>40</v>
      </c>
      <c r="B160">
        <v>0.66200000000000003</v>
      </c>
      <c r="C160" t="s">
        <v>1</v>
      </c>
      <c r="D160">
        <v>0.42799999999999999</v>
      </c>
      <c r="E160">
        <f t="shared" si="5"/>
        <v>35.347432024169187</v>
      </c>
      <c r="I160">
        <v>160</v>
      </c>
      <c r="J160">
        <v>47.58</v>
      </c>
      <c r="U160">
        <v>160</v>
      </c>
      <c r="V160">
        <v>47.43</v>
      </c>
      <c r="AF160">
        <v>160</v>
      </c>
      <c r="AG160">
        <v>47.73</v>
      </c>
    </row>
    <row r="161" spans="1:33" x14ac:dyDescent="0.25">
      <c r="A161">
        <v>40</v>
      </c>
      <c r="B161">
        <v>0.66200000000000003</v>
      </c>
      <c r="C161" t="s">
        <v>2</v>
      </c>
      <c r="D161">
        <v>0.42899999999999999</v>
      </c>
      <c r="E161">
        <f t="shared" si="5"/>
        <v>35.196374622356501</v>
      </c>
    </row>
    <row r="162" spans="1:33" x14ac:dyDescent="0.25">
      <c r="A162">
        <v>80</v>
      </c>
      <c r="B162">
        <v>0.66200000000000003</v>
      </c>
      <c r="C162" t="s">
        <v>0</v>
      </c>
      <c r="D162">
        <v>0.38400000000000001</v>
      </c>
      <c r="E162">
        <f t="shared" si="5"/>
        <v>41.993957703927492</v>
      </c>
      <c r="F162">
        <f>AVERAGE(E162:E164)</f>
        <v>41.440080563947639</v>
      </c>
      <c r="G162">
        <f>STDEV(E162:E164)</f>
        <v>1.2302912107623984</v>
      </c>
    </row>
    <row r="163" spans="1:33" x14ac:dyDescent="0.25">
      <c r="A163">
        <v>80</v>
      </c>
      <c r="B163">
        <v>0.66200000000000003</v>
      </c>
      <c r="C163" t="s">
        <v>1</v>
      </c>
      <c r="D163">
        <v>0.38200000000000001</v>
      </c>
      <c r="E163">
        <f t="shared" si="5"/>
        <v>42.296072507552871</v>
      </c>
      <c r="I163" t="s">
        <v>18</v>
      </c>
      <c r="J163">
        <f>(50-12.658)/0.2653</f>
        <v>140.75386355069733</v>
      </c>
      <c r="U163" t="s">
        <v>17</v>
      </c>
      <c r="V163">
        <f>(50-12.111)/0.2657</f>
        <v>142.60067745577717</v>
      </c>
      <c r="AF163" t="s">
        <v>17</v>
      </c>
      <c r="AG163">
        <f>(50-13.202)/0.2649</f>
        <v>138.91279728199319</v>
      </c>
    </row>
    <row r="164" spans="1:33" x14ac:dyDescent="0.25">
      <c r="A164">
        <v>80</v>
      </c>
      <c r="B164">
        <v>0.66200000000000003</v>
      </c>
      <c r="C164" t="s">
        <v>2</v>
      </c>
      <c r="D164">
        <v>0.39700000000000002</v>
      </c>
      <c r="E164">
        <f t="shared" si="5"/>
        <v>40.030211480362539</v>
      </c>
    </row>
    <row r="165" spans="1:33" x14ac:dyDescent="0.25">
      <c r="A165">
        <v>160</v>
      </c>
      <c r="B165">
        <v>0.66200000000000003</v>
      </c>
      <c r="C165" t="s">
        <v>0</v>
      </c>
      <c r="D165">
        <v>0.34799999999999998</v>
      </c>
      <c r="E165">
        <f t="shared" si="5"/>
        <v>47.432024169184295</v>
      </c>
      <c r="F165">
        <f>AVERAGE(E165:E167)</f>
        <v>47.583081570996988</v>
      </c>
      <c r="G165">
        <f>STDEV(E165:E167)</f>
        <v>0.15105740181268956</v>
      </c>
    </row>
    <row r="166" spans="1:33" x14ac:dyDescent="0.25">
      <c r="A166">
        <v>160</v>
      </c>
      <c r="B166">
        <v>0.66200000000000003</v>
      </c>
      <c r="C166" t="s">
        <v>1</v>
      </c>
      <c r="D166">
        <v>0.34599999999999997</v>
      </c>
      <c r="E166">
        <f t="shared" si="5"/>
        <v>47.734138972809674</v>
      </c>
    </row>
    <row r="167" spans="1:33" x14ac:dyDescent="0.25">
      <c r="A167">
        <v>160</v>
      </c>
      <c r="B167">
        <v>0.66200000000000003</v>
      </c>
      <c r="C167" t="s">
        <v>2</v>
      </c>
      <c r="D167">
        <v>0.34699999999999998</v>
      </c>
      <c r="E167">
        <f t="shared" si="5"/>
        <v>47.583081570996988</v>
      </c>
    </row>
    <row r="175" spans="1:33" x14ac:dyDescent="0.25">
      <c r="C175" t="s">
        <v>32</v>
      </c>
    </row>
    <row r="176" spans="1:33" x14ac:dyDescent="0.25">
      <c r="D176">
        <v>0.64200000000000002</v>
      </c>
    </row>
    <row r="177" spans="3:4" x14ac:dyDescent="0.25">
      <c r="D177">
        <v>0.65800000000000003</v>
      </c>
    </row>
    <row r="178" spans="3:4" x14ac:dyDescent="0.25">
      <c r="D178">
        <v>0.68700000000000006</v>
      </c>
    </row>
    <row r="179" spans="3:4" x14ac:dyDescent="0.25">
      <c r="C179" t="s">
        <v>22</v>
      </c>
      <c r="D179">
        <f>AVERAGE(D176:D178)</f>
        <v>0.66233333333333333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2"/>
  <sheetViews>
    <sheetView topLeftCell="M134" workbookViewId="0">
      <selection activeCell="M137" sqref="M137"/>
    </sheetView>
  </sheetViews>
  <sheetFormatPr defaultRowHeight="15" x14ac:dyDescent="0.25"/>
  <sheetData>
    <row r="1" spans="1:45" x14ac:dyDescent="0.25">
      <c r="A1" t="s">
        <v>5</v>
      </c>
      <c r="B1" t="s">
        <v>50</v>
      </c>
      <c r="C1" t="s">
        <v>6</v>
      </c>
      <c r="D1" t="s">
        <v>24</v>
      </c>
      <c r="E1" t="s">
        <v>48</v>
      </c>
      <c r="F1" t="s">
        <v>9</v>
      </c>
      <c r="G1" t="s">
        <v>3</v>
      </c>
    </row>
    <row r="2" spans="1:45" x14ac:dyDescent="0.25">
      <c r="A2">
        <v>5</v>
      </c>
      <c r="B2">
        <v>0.89100000000000001</v>
      </c>
      <c r="C2" t="s">
        <v>0</v>
      </c>
      <c r="D2">
        <v>0.59599999999999997</v>
      </c>
      <c r="E2">
        <f>(((B2-D2)/B2)*100)</f>
        <v>33.108866442199783</v>
      </c>
      <c r="F2">
        <f>AVERAGE(E2:E4)</f>
        <v>33.520389075944642</v>
      </c>
      <c r="G2">
        <f>STDEV(E2:E4)</f>
        <v>0.5303945708476564</v>
      </c>
    </row>
    <row r="3" spans="1:45" x14ac:dyDescent="0.25">
      <c r="A3">
        <v>5</v>
      </c>
      <c r="B3">
        <v>0.89100000000000001</v>
      </c>
      <c r="C3" t="s">
        <v>1</v>
      </c>
      <c r="D3">
        <v>0.58699999999999997</v>
      </c>
      <c r="E3">
        <f t="shared" ref="E3:E16" si="0">(((B3-D3)/B3)*100)</f>
        <v>34.118967452300794</v>
      </c>
    </row>
    <row r="4" spans="1:45" x14ac:dyDescent="0.25">
      <c r="A4">
        <v>5</v>
      </c>
      <c r="B4">
        <v>0.89100000000000001</v>
      </c>
      <c r="C4" t="s">
        <v>2</v>
      </c>
      <c r="D4">
        <v>0.59399999999999997</v>
      </c>
      <c r="E4">
        <f t="shared" si="0"/>
        <v>33.333333333333336</v>
      </c>
    </row>
    <row r="5" spans="1:45" x14ac:dyDescent="0.25">
      <c r="A5">
        <v>10</v>
      </c>
      <c r="B5">
        <v>0.89100000000000001</v>
      </c>
      <c r="C5" t="s">
        <v>0</v>
      </c>
      <c r="D5">
        <v>0.46300000000000002</v>
      </c>
      <c r="E5">
        <f t="shared" si="0"/>
        <v>48.035914702581366</v>
      </c>
      <c r="F5">
        <f>AVERAGE(E5:E7)</f>
        <v>47.063224841002615</v>
      </c>
      <c r="G5">
        <f>STDEV(E5:E7)</f>
        <v>0.87176806567384846</v>
      </c>
      <c r="I5" t="s">
        <v>10</v>
      </c>
      <c r="J5" t="s">
        <v>9</v>
      </c>
      <c r="T5" t="s">
        <v>10</v>
      </c>
      <c r="U5" t="s">
        <v>53</v>
      </c>
      <c r="AE5" t="s">
        <v>10</v>
      </c>
      <c r="AF5" t="s">
        <v>54</v>
      </c>
      <c r="AR5" t="s">
        <v>55</v>
      </c>
      <c r="AS5" t="s">
        <v>3</v>
      </c>
    </row>
    <row r="6" spans="1:45" x14ac:dyDescent="0.25">
      <c r="A6">
        <v>10</v>
      </c>
      <c r="B6">
        <v>0.89100000000000001</v>
      </c>
      <c r="C6" t="s">
        <v>1</v>
      </c>
      <c r="D6">
        <v>0.47799999999999998</v>
      </c>
      <c r="E6">
        <f t="shared" si="0"/>
        <v>46.352413019079691</v>
      </c>
      <c r="I6">
        <v>5</v>
      </c>
      <c r="J6">
        <v>33.1</v>
      </c>
      <c r="T6">
        <v>5</v>
      </c>
      <c r="U6">
        <v>32.979999999999997</v>
      </c>
      <c r="AE6">
        <v>5</v>
      </c>
      <c r="AF6">
        <v>34.049999999999997</v>
      </c>
      <c r="AR6">
        <f>(50-38.92)/0.6675</f>
        <v>16.599250936329586</v>
      </c>
      <c r="AS6">
        <f>STDEV(AR6:AR8)</f>
        <v>1.1149120920242837</v>
      </c>
    </row>
    <row r="7" spans="1:45" x14ac:dyDescent="0.25">
      <c r="A7">
        <v>10</v>
      </c>
      <c r="B7">
        <v>0.89100000000000001</v>
      </c>
      <c r="C7" t="s">
        <v>2</v>
      </c>
      <c r="D7">
        <v>0.47399999999999998</v>
      </c>
      <c r="E7">
        <f t="shared" si="0"/>
        <v>46.801346801346803</v>
      </c>
      <c r="I7">
        <v>10</v>
      </c>
      <c r="J7">
        <v>47.06</v>
      </c>
      <c r="T7">
        <v>10</v>
      </c>
      <c r="U7">
        <v>46.19</v>
      </c>
      <c r="AE7">
        <v>10</v>
      </c>
      <c r="AF7">
        <v>47.93</v>
      </c>
      <c r="AR7">
        <f>(50-38.266)/0.67</f>
        <v>17.513432835820897</v>
      </c>
    </row>
    <row r="8" spans="1:45" x14ac:dyDescent="0.25">
      <c r="A8">
        <v>20</v>
      </c>
      <c r="B8">
        <v>0.89100000000000001</v>
      </c>
      <c r="C8" t="s">
        <v>0</v>
      </c>
      <c r="D8">
        <v>0.38400000000000001</v>
      </c>
      <c r="E8">
        <f t="shared" si="0"/>
        <v>56.9023569023569</v>
      </c>
      <c r="F8">
        <f>AVERAGE(E8:E10)</f>
        <v>57.201646090534979</v>
      </c>
      <c r="G8">
        <f>STDEV(E8:E10)</f>
        <v>1.0428252798179098</v>
      </c>
      <c r="I8">
        <v>20</v>
      </c>
      <c r="J8">
        <v>57.2</v>
      </c>
      <c r="T8">
        <v>20</v>
      </c>
      <c r="U8">
        <v>56.15</v>
      </c>
      <c r="AE8">
        <v>20</v>
      </c>
      <c r="AF8">
        <v>58.24</v>
      </c>
      <c r="AR8">
        <f>(50-39.916)/0.6593</f>
        <v>15.295009858941306</v>
      </c>
    </row>
    <row r="9" spans="1:45" x14ac:dyDescent="0.25">
      <c r="A9">
        <v>20</v>
      </c>
      <c r="B9">
        <v>0.89100000000000001</v>
      </c>
      <c r="C9" t="s">
        <v>1</v>
      </c>
      <c r="D9">
        <v>0.371</v>
      </c>
      <c r="E9">
        <f t="shared" si="0"/>
        <v>58.361391694725029</v>
      </c>
      <c r="I9">
        <v>40</v>
      </c>
      <c r="J9">
        <v>72.83</v>
      </c>
      <c r="T9">
        <v>40</v>
      </c>
      <c r="U9">
        <v>72.39</v>
      </c>
      <c r="AE9">
        <v>40</v>
      </c>
      <c r="AF9">
        <v>73.28</v>
      </c>
    </row>
    <row r="10" spans="1:45" x14ac:dyDescent="0.25">
      <c r="A10">
        <v>20</v>
      </c>
      <c r="B10">
        <v>0.89100000000000001</v>
      </c>
      <c r="C10" t="s">
        <v>2</v>
      </c>
      <c r="D10">
        <v>0.38900000000000001</v>
      </c>
      <c r="E10">
        <f t="shared" si="0"/>
        <v>56.341189674523008</v>
      </c>
      <c r="I10">
        <v>80</v>
      </c>
      <c r="J10">
        <v>87.87</v>
      </c>
      <c r="T10">
        <v>80</v>
      </c>
      <c r="U10">
        <v>87.47</v>
      </c>
      <c r="AE10">
        <v>80</v>
      </c>
      <c r="AF10">
        <v>88.28</v>
      </c>
    </row>
    <row r="11" spans="1:45" x14ac:dyDescent="0.25">
      <c r="A11">
        <v>40</v>
      </c>
      <c r="B11">
        <v>0.89100000000000001</v>
      </c>
      <c r="C11" t="s">
        <v>0</v>
      </c>
      <c r="D11">
        <v>0.23799999999999999</v>
      </c>
      <c r="E11">
        <f t="shared" si="0"/>
        <v>73.288439955106625</v>
      </c>
      <c r="F11">
        <f>AVERAGE(E11:E13)</f>
        <v>72.839506172839506</v>
      </c>
      <c r="G11">
        <f>STDEV(E11:E13)</f>
        <v>0.44893378226711889</v>
      </c>
    </row>
    <row r="12" spans="1:45" x14ac:dyDescent="0.25">
      <c r="A12">
        <v>40</v>
      </c>
      <c r="B12">
        <v>0.89100000000000001</v>
      </c>
      <c r="C12" t="s">
        <v>1</v>
      </c>
      <c r="D12">
        <v>0.246</v>
      </c>
      <c r="E12">
        <f t="shared" si="0"/>
        <v>72.390572390572387</v>
      </c>
    </row>
    <row r="13" spans="1:45" x14ac:dyDescent="0.25">
      <c r="A13">
        <v>40</v>
      </c>
      <c r="B13">
        <v>0.89100000000000001</v>
      </c>
      <c r="C13" t="s">
        <v>2</v>
      </c>
      <c r="D13">
        <v>0.24199999999999999</v>
      </c>
      <c r="E13">
        <f t="shared" si="0"/>
        <v>72.839506172839506</v>
      </c>
      <c r="I13" t="s">
        <v>18</v>
      </c>
      <c r="J13">
        <f>(50-38.92)/0.6675</f>
        <v>16.599250936329586</v>
      </c>
      <c r="T13" t="s">
        <v>17</v>
      </c>
      <c r="U13">
        <f>(50-38.266)/0.67</f>
        <v>17.513432835820897</v>
      </c>
      <c r="AE13" t="s">
        <v>17</v>
      </c>
      <c r="AF13">
        <f>(50-39.916)/0.6593</f>
        <v>15.295009858941306</v>
      </c>
    </row>
    <row r="14" spans="1:45" x14ac:dyDescent="0.25">
      <c r="A14">
        <v>80</v>
      </c>
      <c r="B14">
        <v>0.89100000000000001</v>
      </c>
      <c r="C14" t="s">
        <v>0</v>
      </c>
      <c r="D14">
        <v>0.105</v>
      </c>
      <c r="E14">
        <f t="shared" si="0"/>
        <v>88.215488215488207</v>
      </c>
      <c r="F14">
        <f>AVERAGE(E14:E16)</f>
        <v>87.878787878787875</v>
      </c>
      <c r="G14">
        <f>STDEV(E14:E16)</f>
        <v>0.40466344281301103</v>
      </c>
    </row>
    <row r="15" spans="1:45" x14ac:dyDescent="0.25">
      <c r="A15">
        <v>80</v>
      </c>
      <c r="B15">
        <v>0.89100000000000001</v>
      </c>
      <c r="C15" t="s">
        <v>1</v>
      </c>
      <c r="D15">
        <v>0.112</v>
      </c>
      <c r="E15">
        <f t="shared" si="0"/>
        <v>87.429854096520771</v>
      </c>
    </row>
    <row r="16" spans="1:45" x14ac:dyDescent="0.25">
      <c r="A16">
        <v>80</v>
      </c>
      <c r="B16">
        <v>0.89100000000000001</v>
      </c>
      <c r="C16" t="s">
        <v>2</v>
      </c>
      <c r="D16">
        <v>0.107</v>
      </c>
      <c r="E16">
        <f t="shared" si="0"/>
        <v>87.991021324354662</v>
      </c>
    </row>
    <row r="23" spans="1:46" x14ac:dyDescent="0.25">
      <c r="A23" t="s">
        <v>5</v>
      </c>
      <c r="B23" t="s">
        <v>50</v>
      </c>
      <c r="C23" t="s">
        <v>6</v>
      </c>
      <c r="D23" t="s">
        <v>24</v>
      </c>
      <c r="E23" t="s">
        <v>48</v>
      </c>
      <c r="F23" t="s">
        <v>9</v>
      </c>
      <c r="G23" t="s">
        <v>3</v>
      </c>
    </row>
    <row r="24" spans="1:46" x14ac:dyDescent="0.25">
      <c r="A24">
        <v>2.5</v>
      </c>
      <c r="B24">
        <v>0.89100000000000001</v>
      </c>
      <c r="C24" t="s">
        <v>0</v>
      </c>
      <c r="D24">
        <v>0.88500000000000001</v>
      </c>
      <c r="E24">
        <f>(((B24-D24)/B24)*100)</f>
        <v>0.673400673400674</v>
      </c>
      <c r="F24" s="3">
        <f>AVERAGE(E24:E26)</f>
        <v>0.59857837635615463</v>
      </c>
      <c r="G24" s="3">
        <f>STDEV(E24:E26)</f>
        <v>0.23363254763929692</v>
      </c>
    </row>
    <row r="25" spans="1:46" x14ac:dyDescent="0.25">
      <c r="A25">
        <v>2.5</v>
      </c>
      <c r="B25">
        <v>0.89100000000000001</v>
      </c>
      <c r="C25" t="s">
        <v>1</v>
      </c>
      <c r="D25">
        <v>0.88800000000000001</v>
      </c>
      <c r="E25">
        <f t="shared" ref="E25:E44" si="1">(((B25-D25)/B25)*100)</f>
        <v>0.336700336700337</v>
      </c>
    </row>
    <row r="26" spans="1:46" x14ac:dyDescent="0.25">
      <c r="A26">
        <v>2.5</v>
      </c>
      <c r="B26">
        <v>0.89100000000000001</v>
      </c>
      <c r="C26" t="s">
        <v>2</v>
      </c>
      <c r="D26">
        <v>0.88400000000000001</v>
      </c>
      <c r="E26">
        <f t="shared" si="1"/>
        <v>0.78563411896745305</v>
      </c>
      <c r="I26" s="2" t="s">
        <v>11</v>
      </c>
    </row>
    <row r="27" spans="1:46" x14ac:dyDescent="0.25">
      <c r="A27">
        <v>5</v>
      </c>
      <c r="B27">
        <v>0.89100000000000001</v>
      </c>
      <c r="C27" t="s">
        <v>0</v>
      </c>
      <c r="D27">
        <v>0.86499999999999999</v>
      </c>
      <c r="E27">
        <f t="shared" si="1"/>
        <v>2.9180695847362541</v>
      </c>
      <c r="F27">
        <f>AVERAGE(E27:E29)</f>
        <v>2.1698466142910608</v>
      </c>
      <c r="G27">
        <f>STDEV(E27:E29)</f>
        <v>0.68575767975396162</v>
      </c>
      <c r="I27" t="s">
        <v>10</v>
      </c>
      <c r="J27" t="s">
        <v>9</v>
      </c>
      <c r="T27" t="s">
        <v>10</v>
      </c>
      <c r="U27" t="s">
        <v>53</v>
      </c>
      <c r="AF27" t="s">
        <v>10</v>
      </c>
      <c r="AG27" t="s">
        <v>54</v>
      </c>
    </row>
    <row r="28" spans="1:46" x14ac:dyDescent="0.25">
      <c r="A28">
        <v>5</v>
      </c>
      <c r="B28">
        <v>0.89100000000000001</v>
      </c>
      <c r="C28" t="s">
        <v>1</v>
      </c>
      <c r="D28">
        <v>0.873</v>
      </c>
      <c r="E28">
        <f t="shared" si="1"/>
        <v>2.0202020202020221</v>
      </c>
      <c r="I28">
        <v>2.5</v>
      </c>
      <c r="J28">
        <v>0.59</v>
      </c>
      <c r="T28">
        <v>2.5</v>
      </c>
      <c r="U28">
        <v>0.36</v>
      </c>
      <c r="AF28">
        <v>2.5</v>
      </c>
      <c r="AG28">
        <v>0.83</v>
      </c>
      <c r="AS28" t="s">
        <v>55</v>
      </c>
      <c r="AT28" t="s">
        <v>3</v>
      </c>
    </row>
    <row r="29" spans="1:46" x14ac:dyDescent="0.25">
      <c r="A29">
        <v>5</v>
      </c>
      <c r="B29">
        <v>0.89100000000000001</v>
      </c>
      <c r="C29" t="s">
        <v>2</v>
      </c>
      <c r="D29">
        <v>0.877</v>
      </c>
      <c r="E29">
        <f t="shared" si="1"/>
        <v>1.5712682379349061</v>
      </c>
      <c r="I29">
        <v>5</v>
      </c>
      <c r="J29">
        <v>2.16</v>
      </c>
      <c r="T29">
        <v>5</v>
      </c>
      <c r="U29">
        <v>1.48</v>
      </c>
      <c r="AF29">
        <v>5</v>
      </c>
      <c r="AG29">
        <v>2.85</v>
      </c>
      <c r="AS29">
        <f>(50-8.9084)/0.2427</f>
        <v>169.31025957972807</v>
      </c>
      <c r="AT29">
        <f>STDEV(AS29:AS31)</f>
        <v>1.7645621939410661</v>
      </c>
    </row>
    <row r="30" spans="1:46" x14ac:dyDescent="0.25">
      <c r="A30">
        <v>10</v>
      </c>
      <c r="B30">
        <v>0.89100000000000001</v>
      </c>
      <c r="C30" t="s">
        <v>0</v>
      </c>
      <c r="D30">
        <v>0.79300000000000004</v>
      </c>
      <c r="E30">
        <f t="shared" si="1"/>
        <v>10.998877665544329</v>
      </c>
      <c r="F30">
        <f>AVERAGE(E30:E32)</f>
        <v>10.77441077441077</v>
      </c>
      <c r="G30">
        <f>STDEV(E30:E32)</f>
        <v>0.80932688562603694</v>
      </c>
      <c r="I30">
        <v>10</v>
      </c>
      <c r="J30">
        <v>10.77</v>
      </c>
      <c r="T30">
        <v>10</v>
      </c>
      <c r="U30">
        <v>9.9600000000000009</v>
      </c>
      <c r="AF30">
        <v>10</v>
      </c>
      <c r="AG30">
        <v>11.58</v>
      </c>
      <c r="AS30">
        <f>(50-8.3882)/0.2433</f>
        <v>171.03082614056723</v>
      </c>
    </row>
    <row r="31" spans="1:46" x14ac:dyDescent="0.25">
      <c r="A31">
        <v>10</v>
      </c>
      <c r="B31">
        <v>0.89100000000000001</v>
      </c>
      <c r="C31" t="s">
        <v>1</v>
      </c>
      <c r="D31">
        <v>0.78900000000000003</v>
      </c>
      <c r="E31">
        <f t="shared" si="1"/>
        <v>11.447811447811446</v>
      </c>
      <c r="I31">
        <v>20</v>
      </c>
      <c r="J31">
        <v>15.6</v>
      </c>
      <c r="T31">
        <v>20</v>
      </c>
      <c r="U31">
        <v>15.3</v>
      </c>
      <c r="AF31">
        <v>20</v>
      </c>
      <c r="AG31">
        <v>15.89</v>
      </c>
      <c r="AS31">
        <f>(50-9.431)/0.2422</f>
        <v>167.50206440957888</v>
      </c>
    </row>
    <row r="32" spans="1:46" x14ac:dyDescent="0.25">
      <c r="A32">
        <v>10</v>
      </c>
      <c r="B32">
        <v>0.89100000000000001</v>
      </c>
      <c r="C32" t="s">
        <v>2</v>
      </c>
      <c r="D32">
        <v>0.80300000000000005</v>
      </c>
      <c r="E32">
        <f t="shared" si="1"/>
        <v>9.8765432098765391</v>
      </c>
      <c r="I32">
        <v>40</v>
      </c>
      <c r="J32">
        <v>34</v>
      </c>
      <c r="T32">
        <v>40</v>
      </c>
      <c r="U32">
        <v>33.409999999999997</v>
      </c>
      <c r="AF32">
        <v>40</v>
      </c>
      <c r="AG32">
        <v>34.6</v>
      </c>
    </row>
    <row r="33" spans="1:33" x14ac:dyDescent="0.25">
      <c r="A33">
        <v>20</v>
      </c>
      <c r="B33">
        <v>0.89100000000000001</v>
      </c>
      <c r="C33" t="s">
        <v>0</v>
      </c>
      <c r="D33">
        <v>0.753</v>
      </c>
      <c r="E33">
        <f t="shared" si="1"/>
        <v>15.48821548821549</v>
      </c>
      <c r="F33">
        <f>AVERAGE(E33:E35)</f>
        <v>15.600448933782269</v>
      </c>
      <c r="G33">
        <f>STDEV(E33:E35)</f>
        <v>0.29694178575360214</v>
      </c>
      <c r="I33">
        <v>80</v>
      </c>
      <c r="J33">
        <v>36.1</v>
      </c>
      <c r="T33">
        <v>80</v>
      </c>
      <c r="U33">
        <v>35.700000000000003</v>
      </c>
      <c r="AF33">
        <v>80</v>
      </c>
      <c r="AG33">
        <v>36.49</v>
      </c>
    </row>
    <row r="34" spans="1:33" x14ac:dyDescent="0.25">
      <c r="A34">
        <v>20</v>
      </c>
      <c r="B34">
        <v>0.89100000000000001</v>
      </c>
      <c r="C34" t="s">
        <v>1</v>
      </c>
      <c r="D34">
        <v>0.749</v>
      </c>
      <c r="E34">
        <f t="shared" si="1"/>
        <v>15.937149270482607</v>
      </c>
      <c r="I34">
        <v>160</v>
      </c>
      <c r="J34">
        <v>40.21</v>
      </c>
      <c r="T34">
        <v>160</v>
      </c>
      <c r="U34">
        <v>39.76</v>
      </c>
      <c r="AF34">
        <v>160</v>
      </c>
      <c r="AG34">
        <v>40.67</v>
      </c>
    </row>
    <row r="35" spans="1:33" x14ac:dyDescent="0.25">
      <c r="A35">
        <v>20</v>
      </c>
      <c r="B35">
        <v>0.89100000000000001</v>
      </c>
      <c r="C35" t="s">
        <v>2</v>
      </c>
      <c r="D35">
        <v>0.754</v>
      </c>
      <c r="E35">
        <f t="shared" si="1"/>
        <v>15.375982042648712</v>
      </c>
    </row>
    <row r="36" spans="1:33" x14ac:dyDescent="0.25">
      <c r="A36">
        <v>40</v>
      </c>
      <c r="B36">
        <v>0.89100000000000001</v>
      </c>
      <c r="C36" t="s">
        <v>0</v>
      </c>
      <c r="D36">
        <v>0.58599999999999997</v>
      </c>
      <c r="E36">
        <f t="shared" si="1"/>
        <v>34.231200897867566</v>
      </c>
      <c r="F36">
        <f>AVERAGE(E36:E38)</f>
        <v>34.006734006734007</v>
      </c>
      <c r="G36">
        <f>STDEV(E36:E38)</f>
        <v>0.59388357150720361</v>
      </c>
    </row>
    <row r="37" spans="1:33" x14ac:dyDescent="0.25">
      <c r="A37">
        <v>40</v>
      </c>
      <c r="B37">
        <v>0.89100000000000001</v>
      </c>
      <c r="C37" t="s">
        <v>1</v>
      </c>
      <c r="D37">
        <v>0.59399999999999997</v>
      </c>
      <c r="E37">
        <f t="shared" si="1"/>
        <v>33.333333333333336</v>
      </c>
      <c r="I37" t="s">
        <v>17</v>
      </c>
      <c r="J37">
        <f>(50-8.9084)/0.2427</f>
        <v>169.31025957972807</v>
      </c>
      <c r="T37" t="s">
        <v>17</v>
      </c>
      <c r="U37">
        <f>(50-8.3882)/0.2433</f>
        <v>171.03082614056723</v>
      </c>
      <c r="AF37" t="s">
        <v>17</v>
      </c>
      <c r="AG37">
        <f>(50-9.431)/0.2422</f>
        <v>167.50206440957888</v>
      </c>
    </row>
    <row r="38" spans="1:33" x14ac:dyDescent="0.25">
      <c r="A38">
        <v>40</v>
      </c>
      <c r="B38">
        <v>0.89100000000000001</v>
      </c>
      <c r="C38" t="s">
        <v>2</v>
      </c>
      <c r="D38">
        <v>0.58399999999999996</v>
      </c>
      <c r="E38">
        <f t="shared" si="1"/>
        <v>34.455667789001126</v>
      </c>
    </row>
    <row r="39" spans="1:33" x14ac:dyDescent="0.25">
      <c r="A39">
        <v>80</v>
      </c>
      <c r="B39">
        <v>0.89100000000000001</v>
      </c>
      <c r="C39" t="s">
        <v>0</v>
      </c>
      <c r="D39">
        <v>0.57299999999999995</v>
      </c>
      <c r="E39">
        <f t="shared" si="1"/>
        <v>35.690235690235696</v>
      </c>
      <c r="F39">
        <f>AVERAGE(E39:E41)</f>
        <v>36.101758323980555</v>
      </c>
      <c r="G39">
        <f>STDEV(E39:E41)</f>
        <v>0.39415090732707547</v>
      </c>
    </row>
    <row r="40" spans="1:33" x14ac:dyDescent="0.25">
      <c r="A40">
        <v>80</v>
      </c>
      <c r="B40">
        <v>0.89100000000000001</v>
      </c>
      <c r="C40" t="s">
        <v>1</v>
      </c>
      <c r="D40">
        <v>0.56599999999999995</v>
      </c>
      <c r="E40">
        <f t="shared" si="1"/>
        <v>36.475869809203147</v>
      </c>
    </row>
    <row r="41" spans="1:33" x14ac:dyDescent="0.25">
      <c r="A41">
        <v>80</v>
      </c>
      <c r="B41">
        <v>0.89100000000000001</v>
      </c>
      <c r="C41" t="s">
        <v>2</v>
      </c>
      <c r="D41">
        <v>0.56899999999999995</v>
      </c>
      <c r="E41">
        <f t="shared" si="1"/>
        <v>36.139169472502815</v>
      </c>
    </row>
    <row r="42" spans="1:33" x14ac:dyDescent="0.25">
      <c r="A42">
        <v>160</v>
      </c>
      <c r="B42">
        <v>0.89100000000000001</v>
      </c>
      <c r="C42" t="s">
        <v>0</v>
      </c>
      <c r="D42">
        <v>0.53200000000000003</v>
      </c>
      <c r="E42">
        <f t="shared" si="1"/>
        <v>40.291806958473622</v>
      </c>
      <c r="F42">
        <f>AVERAGE(E42:E44)</f>
        <v>40.216984661429102</v>
      </c>
      <c r="G42">
        <f>STDEV(E42:E44)</f>
        <v>0.45358607007041257</v>
      </c>
    </row>
    <row r="43" spans="1:33" x14ac:dyDescent="0.25">
      <c r="A43">
        <v>160</v>
      </c>
      <c r="B43">
        <v>0.89100000000000001</v>
      </c>
      <c r="C43" t="s">
        <v>1</v>
      </c>
      <c r="D43">
        <v>0.52900000000000003</v>
      </c>
      <c r="E43">
        <f t="shared" si="1"/>
        <v>40.628507295173961</v>
      </c>
    </row>
    <row r="44" spans="1:33" x14ac:dyDescent="0.25">
      <c r="A44">
        <v>160</v>
      </c>
      <c r="B44">
        <v>0.89100000000000001</v>
      </c>
      <c r="C44" t="s">
        <v>2</v>
      </c>
      <c r="D44">
        <v>0.53700000000000003</v>
      </c>
      <c r="E44">
        <f t="shared" si="1"/>
        <v>39.73063973063973</v>
      </c>
    </row>
    <row r="51" spans="1:45" x14ac:dyDescent="0.25">
      <c r="A51" t="s">
        <v>5</v>
      </c>
      <c r="B51" t="s">
        <v>50</v>
      </c>
      <c r="C51" t="s">
        <v>6</v>
      </c>
      <c r="D51" t="s">
        <v>24</v>
      </c>
      <c r="E51" t="s">
        <v>48</v>
      </c>
      <c r="F51" t="s">
        <v>9</v>
      </c>
      <c r="G51" t="s">
        <v>3</v>
      </c>
    </row>
    <row r="52" spans="1:45" x14ac:dyDescent="0.25">
      <c r="A52">
        <v>2.5</v>
      </c>
      <c r="B52">
        <v>0.89100000000000001</v>
      </c>
      <c r="C52" t="s">
        <v>0</v>
      </c>
      <c r="D52">
        <v>0.88600000000000001</v>
      </c>
      <c r="E52">
        <f t="shared" ref="E52:E63" si="2">(((B52-D52)/B52)*100)</f>
        <v>0.56116722783389494</v>
      </c>
      <c r="F52" s="3">
        <f>AVERAGE(E52:E54)</f>
        <v>0.71081182192293368</v>
      </c>
      <c r="G52" s="3">
        <f>STDEV(E52:E54)</f>
        <v>0.1714394199384901</v>
      </c>
    </row>
    <row r="53" spans="1:45" x14ac:dyDescent="0.25">
      <c r="A53">
        <v>2.5</v>
      </c>
      <c r="B53">
        <v>0.89100000000000001</v>
      </c>
      <c r="C53" t="s">
        <v>1</v>
      </c>
      <c r="D53">
        <v>0.88500000000000001</v>
      </c>
      <c r="E53">
        <f t="shared" si="2"/>
        <v>0.673400673400674</v>
      </c>
    </row>
    <row r="54" spans="1:45" x14ac:dyDescent="0.25">
      <c r="A54">
        <v>2.5</v>
      </c>
      <c r="B54">
        <v>0.89100000000000001</v>
      </c>
      <c r="C54" t="s">
        <v>2</v>
      </c>
      <c r="D54">
        <v>0.88300000000000001</v>
      </c>
      <c r="E54">
        <f t="shared" si="2"/>
        <v>0.897867564534232</v>
      </c>
      <c r="I54" s="1" t="s">
        <v>15</v>
      </c>
    </row>
    <row r="55" spans="1:45" x14ac:dyDescent="0.25">
      <c r="A55">
        <v>5</v>
      </c>
      <c r="B55">
        <v>0.89100000000000001</v>
      </c>
      <c r="C55" t="s">
        <v>0</v>
      </c>
      <c r="D55">
        <v>0.84499999999999997</v>
      </c>
      <c r="E55">
        <f t="shared" si="2"/>
        <v>5.1627384960718334</v>
      </c>
      <c r="F55">
        <f>AVERAGE(E55:E57)</f>
        <v>5.4994388327721708</v>
      </c>
      <c r="G55">
        <f>STDEV(E55:E57)</f>
        <v>0.4892142473109628</v>
      </c>
      <c r="I55" t="s">
        <v>10</v>
      </c>
      <c r="J55" t="s">
        <v>9</v>
      </c>
      <c r="T55" t="s">
        <v>10</v>
      </c>
      <c r="U55" t="s">
        <v>53</v>
      </c>
      <c r="AF55" t="s">
        <v>10</v>
      </c>
      <c r="AG55" t="s">
        <v>54</v>
      </c>
      <c r="AR55" t="s">
        <v>55</v>
      </c>
      <c r="AS55" t="s">
        <v>3</v>
      </c>
    </row>
    <row r="56" spans="1:45" x14ac:dyDescent="0.25">
      <c r="A56">
        <v>5</v>
      </c>
      <c r="B56">
        <v>0.89100000000000001</v>
      </c>
      <c r="C56" t="s">
        <v>1</v>
      </c>
      <c r="D56">
        <v>0.83699999999999997</v>
      </c>
      <c r="E56">
        <f t="shared" si="2"/>
        <v>6.0606060606060659</v>
      </c>
      <c r="I56">
        <v>2.5</v>
      </c>
      <c r="J56">
        <v>0.71</v>
      </c>
      <c r="T56">
        <v>2.5</v>
      </c>
      <c r="U56">
        <v>0.53</v>
      </c>
      <c r="AF56">
        <v>2.5</v>
      </c>
      <c r="AG56">
        <v>0.88</v>
      </c>
      <c r="AR56">
        <f>(50-8.4901)/0.1876</f>
        <v>221.26812366737741</v>
      </c>
      <c r="AS56">
        <f>STDEV(AR56:AR58)</f>
        <v>2.4635303793619583</v>
      </c>
    </row>
    <row r="57" spans="1:45" x14ac:dyDescent="0.25">
      <c r="A57">
        <v>5</v>
      </c>
      <c r="B57">
        <v>0.89100000000000001</v>
      </c>
      <c r="C57" t="s">
        <v>2</v>
      </c>
      <c r="D57">
        <v>0.84399999999999997</v>
      </c>
      <c r="E57">
        <f t="shared" si="2"/>
        <v>5.2749719416386132</v>
      </c>
      <c r="I57">
        <v>5</v>
      </c>
      <c r="J57">
        <v>5.49</v>
      </c>
      <c r="T57">
        <v>5</v>
      </c>
      <c r="U57">
        <v>5.01</v>
      </c>
      <c r="AF57">
        <v>5</v>
      </c>
      <c r="AG57">
        <v>5.98</v>
      </c>
      <c r="AR57">
        <f>(50-7.9621)/0.188</f>
        <v>223.60585106382979</v>
      </c>
    </row>
    <row r="58" spans="1:45" x14ac:dyDescent="0.25">
      <c r="A58">
        <v>10</v>
      </c>
      <c r="B58">
        <v>0.89100000000000001</v>
      </c>
      <c r="C58" t="s">
        <v>0</v>
      </c>
      <c r="D58">
        <v>0.79400000000000004</v>
      </c>
      <c r="E58">
        <f t="shared" si="2"/>
        <v>10.886644219977551</v>
      </c>
      <c r="F58">
        <f>AVERAGE(E58:E60)</f>
        <v>11.036288814066589</v>
      </c>
      <c r="G58">
        <f>STDEV(E58:E60)</f>
        <v>0.68575767975396074</v>
      </c>
      <c r="I58">
        <v>10</v>
      </c>
      <c r="J58">
        <v>11.03</v>
      </c>
      <c r="T58">
        <v>10</v>
      </c>
      <c r="U58">
        <v>10.35</v>
      </c>
      <c r="AF58">
        <v>10</v>
      </c>
      <c r="AG58">
        <v>11.72</v>
      </c>
      <c r="AR58">
        <f>(50-9.0192)/0.1874</f>
        <v>218.68089647812167</v>
      </c>
    </row>
    <row r="59" spans="1:45" x14ac:dyDescent="0.25">
      <c r="A59">
        <v>10</v>
      </c>
      <c r="B59">
        <v>0.89100000000000001</v>
      </c>
      <c r="C59" t="s">
        <v>1</v>
      </c>
      <c r="D59">
        <v>0.79800000000000004</v>
      </c>
      <c r="E59">
        <f t="shared" si="2"/>
        <v>10.437710437710434</v>
      </c>
      <c r="I59">
        <v>20</v>
      </c>
      <c r="J59">
        <v>16.61</v>
      </c>
      <c r="T59">
        <v>20</v>
      </c>
      <c r="U59">
        <v>15.9</v>
      </c>
      <c r="AF59">
        <v>20</v>
      </c>
      <c r="AG59">
        <v>17.309999999999999</v>
      </c>
    </row>
    <row r="60" spans="1:45" x14ac:dyDescent="0.25">
      <c r="A60">
        <v>10</v>
      </c>
      <c r="B60">
        <v>0.89100000000000001</v>
      </c>
      <c r="C60" t="s">
        <v>2</v>
      </c>
      <c r="D60">
        <v>0.78600000000000003</v>
      </c>
      <c r="E60">
        <f t="shared" si="2"/>
        <v>11.784511784511782</v>
      </c>
      <c r="I60">
        <v>40</v>
      </c>
      <c r="J60">
        <v>22.85</v>
      </c>
      <c r="T60">
        <v>40</v>
      </c>
      <c r="U60">
        <v>22.2</v>
      </c>
      <c r="AF60">
        <v>40</v>
      </c>
      <c r="AG60">
        <v>23.51</v>
      </c>
    </row>
    <row r="61" spans="1:45" x14ac:dyDescent="0.25">
      <c r="A61">
        <v>20</v>
      </c>
      <c r="B61">
        <v>0.89100000000000001</v>
      </c>
      <c r="C61" t="s">
        <v>0</v>
      </c>
      <c r="D61">
        <v>0.745</v>
      </c>
      <c r="E61">
        <f t="shared" si="2"/>
        <v>16.386083052749722</v>
      </c>
      <c r="F61">
        <f>AVERAGE(E61:E63)</f>
        <v>16.610549943883282</v>
      </c>
      <c r="G61">
        <f>STDEV(E61:E63)</f>
        <v>0.70089764291789092</v>
      </c>
      <c r="I61">
        <v>80</v>
      </c>
      <c r="J61">
        <v>28.2</v>
      </c>
      <c r="T61">
        <v>80</v>
      </c>
      <c r="U61">
        <v>27.75</v>
      </c>
      <c r="AF61">
        <v>80</v>
      </c>
      <c r="AG61">
        <v>28.66</v>
      </c>
    </row>
    <row r="62" spans="1:45" x14ac:dyDescent="0.25">
      <c r="A62">
        <v>20</v>
      </c>
      <c r="B62">
        <v>0.89100000000000001</v>
      </c>
      <c r="C62" t="s">
        <v>1</v>
      </c>
      <c r="D62">
        <v>0.748</v>
      </c>
      <c r="E62">
        <f t="shared" si="2"/>
        <v>16.049382716049383</v>
      </c>
      <c r="I62">
        <v>160</v>
      </c>
      <c r="J62">
        <v>34.11</v>
      </c>
      <c r="T62">
        <v>160</v>
      </c>
      <c r="U62">
        <v>33.67</v>
      </c>
      <c r="AF62">
        <v>160</v>
      </c>
      <c r="AG62">
        <v>34.56</v>
      </c>
    </row>
    <row r="63" spans="1:45" x14ac:dyDescent="0.25">
      <c r="A63">
        <v>20</v>
      </c>
      <c r="B63">
        <v>0.89100000000000001</v>
      </c>
      <c r="C63" t="s">
        <v>2</v>
      </c>
      <c r="D63">
        <v>0.73599999999999999</v>
      </c>
      <c r="E63">
        <f t="shared" si="2"/>
        <v>17.396184062850732</v>
      </c>
    </row>
    <row r="64" spans="1:45" x14ac:dyDescent="0.25">
      <c r="A64">
        <v>40</v>
      </c>
      <c r="B64">
        <v>0.89100000000000001</v>
      </c>
      <c r="C64" t="s">
        <v>0</v>
      </c>
      <c r="D64">
        <v>0.68300000000000005</v>
      </c>
      <c r="E64">
        <f t="shared" ref="E64:E72" si="3">(((B64-D64)/B64)*100)</f>
        <v>23.344556677890008</v>
      </c>
      <c r="F64">
        <f>AVERAGE(E64:E66)</f>
        <v>22.858211747100636</v>
      </c>
      <c r="G64">
        <f>STDEV(E64:E66)</f>
        <v>0.65762797722584176</v>
      </c>
    </row>
    <row r="65" spans="1:33" x14ac:dyDescent="0.25">
      <c r="A65">
        <v>40</v>
      </c>
      <c r="B65">
        <v>0.89100000000000001</v>
      </c>
      <c r="C65" t="s">
        <v>1</v>
      </c>
      <c r="D65">
        <v>0.69399999999999995</v>
      </c>
      <c r="E65">
        <f t="shared" si="3"/>
        <v>22.109988776655452</v>
      </c>
      <c r="I65" t="s">
        <v>17</v>
      </c>
      <c r="J65">
        <f>(50-8.4901)/0.1876</f>
        <v>221.26812366737741</v>
      </c>
      <c r="T65" t="s">
        <v>17</v>
      </c>
      <c r="U65">
        <f>(50-7.9621)/0.188</f>
        <v>223.60585106382979</v>
      </c>
      <c r="AF65" t="s">
        <v>17</v>
      </c>
      <c r="AG65">
        <f>(50-9.0192)/0.1874</f>
        <v>218.68089647812167</v>
      </c>
    </row>
    <row r="66" spans="1:33" x14ac:dyDescent="0.25">
      <c r="A66">
        <v>40</v>
      </c>
      <c r="B66">
        <v>0.89100000000000001</v>
      </c>
      <c r="C66" t="s">
        <v>2</v>
      </c>
      <c r="D66">
        <v>0.68500000000000005</v>
      </c>
      <c r="E66">
        <f t="shared" si="3"/>
        <v>23.120089786756449</v>
      </c>
    </row>
    <row r="67" spans="1:33" x14ac:dyDescent="0.25">
      <c r="A67">
        <v>80</v>
      </c>
      <c r="B67">
        <v>0.89100000000000001</v>
      </c>
      <c r="C67" t="s">
        <v>0</v>
      </c>
      <c r="D67">
        <v>0.64400000000000002</v>
      </c>
      <c r="E67">
        <f t="shared" si="3"/>
        <v>27.721661054994389</v>
      </c>
      <c r="F67">
        <f>AVERAGE(E67:E69)</f>
        <v>28.20800598578376</v>
      </c>
      <c r="G67">
        <f>STDEV(E67:E69)</f>
        <v>0.45358607007041096</v>
      </c>
    </row>
    <row r="68" spans="1:33" x14ac:dyDescent="0.25">
      <c r="A68">
        <v>80</v>
      </c>
      <c r="B68">
        <v>0.89100000000000001</v>
      </c>
      <c r="C68" t="s">
        <v>1</v>
      </c>
      <c r="D68">
        <v>0.63900000000000001</v>
      </c>
      <c r="E68">
        <f t="shared" si="3"/>
        <v>28.28282828282828</v>
      </c>
    </row>
    <row r="69" spans="1:33" x14ac:dyDescent="0.25">
      <c r="A69">
        <v>80</v>
      </c>
      <c r="B69">
        <v>0.89100000000000001</v>
      </c>
      <c r="C69" t="s">
        <v>2</v>
      </c>
      <c r="D69">
        <v>0.63600000000000001</v>
      </c>
      <c r="E69">
        <f t="shared" si="3"/>
        <v>28.619528619528616</v>
      </c>
    </row>
    <row r="70" spans="1:33" x14ac:dyDescent="0.25">
      <c r="A70">
        <v>160</v>
      </c>
      <c r="B70">
        <v>0.89100000000000001</v>
      </c>
      <c r="C70" t="s">
        <v>0</v>
      </c>
      <c r="D70">
        <v>0.58299999999999996</v>
      </c>
      <c r="E70">
        <f t="shared" si="3"/>
        <v>34.567901234567906</v>
      </c>
      <c r="F70">
        <f>AVERAGE(E70:E72)</f>
        <v>34.118967452300794</v>
      </c>
      <c r="G70">
        <f>STDEV(E70:E72)</f>
        <v>0.44893378226711533</v>
      </c>
    </row>
    <row r="71" spans="1:33" x14ac:dyDescent="0.25">
      <c r="A71">
        <v>160</v>
      </c>
      <c r="B71">
        <v>0.89100000000000001</v>
      </c>
      <c r="C71" t="s">
        <v>1</v>
      </c>
      <c r="D71">
        <v>0.58699999999999997</v>
      </c>
      <c r="E71">
        <f t="shared" si="3"/>
        <v>34.118967452300794</v>
      </c>
    </row>
    <row r="72" spans="1:33" x14ac:dyDescent="0.25">
      <c r="A72">
        <v>160</v>
      </c>
      <c r="B72">
        <v>0.89100000000000001</v>
      </c>
      <c r="C72" t="s">
        <v>2</v>
      </c>
      <c r="D72">
        <v>0.59099999999999997</v>
      </c>
      <c r="E72">
        <f t="shared" si="3"/>
        <v>33.670033670033675</v>
      </c>
    </row>
    <row r="79" spans="1:33" x14ac:dyDescent="0.25">
      <c r="A79" t="s">
        <v>5</v>
      </c>
      <c r="B79" t="s">
        <v>50</v>
      </c>
      <c r="C79" t="s">
        <v>6</v>
      </c>
      <c r="D79" t="s">
        <v>24</v>
      </c>
      <c r="E79" t="s">
        <v>48</v>
      </c>
      <c r="F79" t="s">
        <v>9</v>
      </c>
      <c r="G79" t="s">
        <v>3</v>
      </c>
    </row>
    <row r="80" spans="1:33" x14ac:dyDescent="0.25">
      <c r="A80">
        <v>2.5</v>
      </c>
      <c r="B80">
        <v>0.89100000000000001</v>
      </c>
      <c r="C80" t="s">
        <v>0</v>
      </c>
      <c r="D80">
        <v>0.873</v>
      </c>
      <c r="E80">
        <f>(((B80-D80)/B80)*100)</f>
        <v>2.0202020202020221</v>
      </c>
      <c r="F80">
        <f>AVERAGE(E80:E82)</f>
        <v>2.0576131687242816</v>
      </c>
      <c r="G80">
        <f>STDEV(E80:E82)</f>
        <v>0.73023648694138288</v>
      </c>
    </row>
    <row r="81" spans="1:45" x14ac:dyDescent="0.25">
      <c r="A81">
        <v>2.5</v>
      </c>
      <c r="B81">
        <v>0.89100000000000001</v>
      </c>
      <c r="C81" t="s">
        <v>1</v>
      </c>
      <c r="D81">
        <v>0.86599999999999999</v>
      </c>
      <c r="E81">
        <f t="shared" ref="E81:E100" si="4">(((B81-D81)/B81)*100)</f>
        <v>2.8058361391694748</v>
      </c>
    </row>
    <row r="82" spans="1:45" x14ac:dyDescent="0.25">
      <c r="A82">
        <v>2.5</v>
      </c>
      <c r="B82">
        <v>0.89100000000000001</v>
      </c>
      <c r="C82" t="s">
        <v>2</v>
      </c>
      <c r="D82">
        <v>0.879</v>
      </c>
      <c r="E82">
        <f t="shared" si="4"/>
        <v>1.346801346801348</v>
      </c>
      <c r="I82" s="2" t="s">
        <v>14</v>
      </c>
    </row>
    <row r="83" spans="1:45" x14ac:dyDescent="0.25">
      <c r="A83">
        <v>5</v>
      </c>
      <c r="B83">
        <v>0.89100000000000001</v>
      </c>
      <c r="C83" t="s">
        <v>0</v>
      </c>
      <c r="D83">
        <v>0.748</v>
      </c>
      <c r="E83">
        <f t="shared" si="4"/>
        <v>16.049382716049383</v>
      </c>
      <c r="F83">
        <f>AVERAGE(E83:E85)</f>
        <v>16.348671904227462</v>
      </c>
      <c r="G83">
        <f>STDEV(E83:E85)</f>
        <v>0.34287883987698076</v>
      </c>
      <c r="I83" t="s">
        <v>10</v>
      </c>
      <c r="J83" t="s">
        <v>9</v>
      </c>
      <c r="T83" t="s">
        <v>10</v>
      </c>
      <c r="U83" t="s">
        <v>53</v>
      </c>
      <c r="AF83" t="s">
        <v>10</v>
      </c>
      <c r="AG83" t="s">
        <v>54</v>
      </c>
    </row>
    <row r="84" spans="1:45" x14ac:dyDescent="0.25">
      <c r="A84">
        <v>5</v>
      </c>
      <c r="B84">
        <v>0.89100000000000001</v>
      </c>
      <c r="C84" t="s">
        <v>1</v>
      </c>
      <c r="D84">
        <v>0.746</v>
      </c>
      <c r="E84">
        <f t="shared" si="4"/>
        <v>16.273849607182942</v>
      </c>
      <c r="I84">
        <v>2.5</v>
      </c>
      <c r="J84">
        <v>2.0499999999999998</v>
      </c>
      <c r="T84">
        <v>2.5</v>
      </c>
      <c r="U84">
        <v>1.32</v>
      </c>
      <c r="AF84">
        <v>2.5</v>
      </c>
      <c r="AG84">
        <v>2.78</v>
      </c>
      <c r="AR84" t="s">
        <v>55</v>
      </c>
      <c r="AS84" t="s">
        <v>3</v>
      </c>
    </row>
    <row r="85" spans="1:45" x14ac:dyDescent="0.25">
      <c r="A85">
        <v>5</v>
      </c>
      <c r="B85">
        <v>0.89100000000000001</v>
      </c>
      <c r="C85" t="s">
        <v>2</v>
      </c>
      <c r="D85">
        <v>0.74199999999999999</v>
      </c>
      <c r="E85">
        <f t="shared" si="4"/>
        <v>16.722783389450058</v>
      </c>
      <c r="I85">
        <v>5</v>
      </c>
      <c r="J85">
        <v>16.34</v>
      </c>
      <c r="T85">
        <v>5</v>
      </c>
      <c r="U85">
        <v>16</v>
      </c>
      <c r="AF85">
        <v>5</v>
      </c>
      <c r="AG85">
        <v>16.690000000000001</v>
      </c>
      <c r="AR85">
        <f>(50-17.588)/0.2637</f>
        <v>122.91240045506257</v>
      </c>
      <c r="AS85">
        <f>STDEV(AR85:AR87)</f>
        <v>3.3286933072763478</v>
      </c>
    </row>
    <row r="86" spans="1:45" x14ac:dyDescent="0.25">
      <c r="A86">
        <v>10</v>
      </c>
      <c r="B86">
        <v>0.89100000000000001</v>
      </c>
      <c r="C86" t="s">
        <v>0</v>
      </c>
      <c r="D86">
        <v>0.68300000000000005</v>
      </c>
      <c r="E86">
        <f t="shared" si="4"/>
        <v>23.344556677890008</v>
      </c>
      <c r="F86">
        <f>AVERAGE(E86:E88)</f>
        <v>22.671156004489344</v>
      </c>
      <c r="G86">
        <f>STDEV(E86:E88)</f>
        <v>0.73596391967474262</v>
      </c>
      <c r="I86">
        <v>10</v>
      </c>
      <c r="J86">
        <v>22.67</v>
      </c>
      <c r="T86">
        <v>10</v>
      </c>
      <c r="U86">
        <v>21.93</v>
      </c>
      <c r="AF86">
        <v>10</v>
      </c>
      <c r="AG86">
        <v>23.4</v>
      </c>
      <c r="AR86">
        <f>(50-16.993)/0.2614</f>
        <v>126.27008416220353</v>
      </c>
    </row>
    <row r="87" spans="1:45" x14ac:dyDescent="0.25">
      <c r="A87">
        <v>10</v>
      </c>
      <c r="B87">
        <v>0.89100000000000001</v>
      </c>
      <c r="C87" t="s">
        <v>1</v>
      </c>
      <c r="D87">
        <v>0.68799999999999994</v>
      </c>
      <c r="E87">
        <f t="shared" si="4"/>
        <v>22.783389450056124</v>
      </c>
      <c r="I87">
        <v>20</v>
      </c>
      <c r="J87">
        <v>30</v>
      </c>
      <c r="T87">
        <v>20</v>
      </c>
      <c r="U87">
        <v>29.49</v>
      </c>
      <c r="AF87">
        <v>20</v>
      </c>
      <c r="AG87">
        <v>30.5</v>
      </c>
      <c r="AR87">
        <f>(50-18.183)/0.266</f>
        <v>119.61278195488721</v>
      </c>
    </row>
    <row r="88" spans="1:45" x14ac:dyDescent="0.25">
      <c r="A88">
        <v>10</v>
      </c>
      <c r="B88">
        <v>0.89100000000000001</v>
      </c>
      <c r="C88" t="s">
        <v>2</v>
      </c>
      <c r="D88">
        <v>0.69599999999999995</v>
      </c>
      <c r="E88">
        <f t="shared" si="4"/>
        <v>21.885521885521893</v>
      </c>
      <c r="I88">
        <v>40</v>
      </c>
      <c r="J88">
        <v>37.22</v>
      </c>
      <c r="T88">
        <v>40</v>
      </c>
      <c r="U88">
        <v>36.380000000000003</v>
      </c>
      <c r="AF88">
        <v>40</v>
      </c>
      <c r="AG88">
        <v>38.06</v>
      </c>
    </row>
    <row r="89" spans="1:45" x14ac:dyDescent="0.25">
      <c r="A89">
        <v>20</v>
      </c>
      <c r="B89">
        <v>0.89100000000000001</v>
      </c>
      <c r="C89" t="s">
        <v>0</v>
      </c>
      <c r="D89">
        <v>0.628</v>
      </c>
      <c r="E89">
        <f t="shared" si="4"/>
        <v>29.51739618406285</v>
      </c>
      <c r="F89">
        <f>AVERAGE(E89:E91)</f>
        <v>30.003741114852229</v>
      </c>
      <c r="G89">
        <f>STDEV(E89:E91)</f>
        <v>0.50608863668045956</v>
      </c>
      <c r="I89">
        <v>80</v>
      </c>
      <c r="J89">
        <v>44.85</v>
      </c>
      <c r="T89">
        <v>80</v>
      </c>
      <c r="U89">
        <v>44.04</v>
      </c>
      <c r="AF89">
        <v>80</v>
      </c>
      <c r="AG89">
        <v>45.66</v>
      </c>
    </row>
    <row r="90" spans="1:45" x14ac:dyDescent="0.25">
      <c r="A90">
        <v>20</v>
      </c>
      <c r="B90">
        <v>0.89100000000000001</v>
      </c>
      <c r="C90" t="s">
        <v>1</v>
      </c>
      <c r="D90">
        <v>0.624</v>
      </c>
      <c r="E90">
        <f t="shared" si="4"/>
        <v>29.966329966329969</v>
      </c>
      <c r="I90">
        <v>160</v>
      </c>
      <c r="J90">
        <v>53.72</v>
      </c>
      <c r="T90">
        <v>160</v>
      </c>
      <c r="U90">
        <v>52.8</v>
      </c>
      <c r="AF90">
        <v>160</v>
      </c>
      <c r="AG90">
        <v>54.63</v>
      </c>
    </row>
    <row r="91" spans="1:45" x14ac:dyDescent="0.25">
      <c r="A91">
        <v>20</v>
      </c>
      <c r="B91">
        <v>0.89100000000000001</v>
      </c>
      <c r="C91" t="s">
        <v>2</v>
      </c>
      <c r="D91">
        <v>0.61899999999999999</v>
      </c>
      <c r="E91">
        <f t="shared" si="4"/>
        <v>30.52749719416386</v>
      </c>
    </row>
    <row r="92" spans="1:45" x14ac:dyDescent="0.25">
      <c r="A92">
        <v>40</v>
      </c>
      <c r="B92">
        <v>0.89100000000000001</v>
      </c>
      <c r="C92" t="s">
        <v>0</v>
      </c>
      <c r="D92">
        <v>0.55200000000000005</v>
      </c>
      <c r="E92">
        <f t="shared" si="4"/>
        <v>38.047138047138041</v>
      </c>
      <c r="F92">
        <f>AVERAGE(E92:E94)</f>
        <v>37.224092779648338</v>
      </c>
      <c r="G92">
        <f>STDEV(E92:E94)</f>
        <v>0.84237413013076257</v>
      </c>
    </row>
    <row r="93" spans="1:45" x14ac:dyDescent="0.25">
      <c r="A93">
        <v>40</v>
      </c>
      <c r="B93">
        <v>0.89100000000000001</v>
      </c>
      <c r="C93" t="s">
        <v>1</v>
      </c>
      <c r="D93">
        <v>0.55900000000000005</v>
      </c>
      <c r="E93">
        <f t="shared" si="4"/>
        <v>37.26150392817059</v>
      </c>
      <c r="I93" t="s">
        <v>17</v>
      </c>
      <c r="J93">
        <f>(50-17.588)/0.2637</f>
        <v>122.91240045506257</v>
      </c>
      <c r="T93" t="s">
        <v>17</v>
      </c>
      <c r="U93">
        <f>(50-16.993)/0.2614</f>
        <v>126.27008416220353</v>
      </c>
      <c r="AF93" t="s">
        <v>17</v>
      </c>
      <c r="AG93">
        <f>(50-18.183)/0.266</f>
        <v>119.61278195488721</v>
      </c>
    </row>
    <row r="94" spans="1:45" x14ac:dyDescent="0.25">
      <c r="A94">
        <v>40</v>
      </c>
      <c r="B94">
        <v>0.89100000000000001</v>
      </c>
      <c r="C94" t="s">
        <v>2</v>
      </c>
      <c r="D94">
        <v>0.56699999999999995</v>
      </c>
      <c r="E94">
        <f t="shared" si="4"/>
        <v>36.363636363636367</v>
      </c>
    </row>
    <row r="95" spans="1:45" x14ac:dyDescent="0.25">
      <c r="A95">
        <v>80</v>
      </c>
      <c r="B95">
        <v>0.89100000000000001</v>
      </c>
      <c r="C95" t="s">
        <v>0</v>
      </c>
      <c r="D95">
        <v>0.496</v>
      </c>
      <c r="E95">
        <f t="shared" si="4"/>
        <v>44.33221099887767</v>
      </c>
      <c r="F95">
        <f>AVERAGE(E95:E97)</f>
        <v>44.855967078189309</v>
      </c>
      <c r="G95">
        <f>STDEV(E95:E97)</f>
        <v>0.81191673827948541</v>
      </c>
    </row>
    <row r="96" spans="1:45" x14ac:dyDescent="0.25">
      <c r="A96">
        <v>80</v>
      </c>
      <c r="B96">
        <v>0.89100000000000001</v>
      </c>
      <c r="C96" t="s">
        <v>1</v>
      </c>
      <c r="D96">
        <v>0.48299999999999998</v>
      </c>
      <c r="E96">
        <f t="shared" si="4"/>
        <v>45.791245791245792</v>
      </c>
    </row>
    <row r="97" spans="1:33" x14ac:dyDescent="0.25">
      <c r="A97">
        <v>80</v>
      </c>
      <c r="B97">
        <v>0.89100000000000001</v>
      </c>
      <c r="C97" t="s">
        <v>2</v>
      </c>
      <c r="D97">
        <v>0.495</v>
      </c>
      <c r="E97">
        <f t="shared" si="4"/>
        <v>44.44444444444445</v>
      </c>
    </row>
    <row r="98" spans="1:33" x14ac:dyDescent="0.25">
      <c r="A98">
        <v>160</v>
      </c>
      <c r="B98">
        <v>0.89100000000000001</v>
      </c>
      <c r="C98" t="s">
        <v>0</v>
      </c>
      <c r="D98">
        <v>0.41799999999999998</v>
      </c>
      <c r="E98">
        <f t="shared" si="4"/>
        <v>53.086419753086425</v>
      </c>
      <c r="F98">
        <f>AVERAGE(E98:E100)</f>
        <v>53.722409277964836</v>
      </c>
      <c r="G98">
        <f>STDEV(E98:E100)</f>
        <v>0.91408841921964568</v>
      </c>
    </row>
    <row r="99" spans="1:33" x14ac:dyDescent="0.25">
      <c r="A99">
        <v>160</v>
      </c>
      <c r="B99">
        <v>0.89100000000000001</v>
      </c>
      <c r="C99" t="s">
        <v>1</v>
      </c>
      <c r="D99">
        <v>0.40300000000000002</v>
      </c>
      <c r="E99">
        <f t="shared" si="4"/>
        <v>54.769921436588099</v>
      </c>
    </row>
    <row r="100" spans="1:33" x14ac:dyDescent="0.25">
      <c r="A100">
        <v>160</v>
      </c>
      <c r="B100">
        <v>0.89100000000000001</v>
      </c>
      <c r="C100" t="s">
        <v>2</v>
      </c>
      <c r="D100">
        <v>0.41599999999999998</v>
      </c>
      <c r="E100">
        <f t="shared" si="4"/>
        <v>53.310886644219977</v>
      </c>
    </row>
    <row r="108" spans="1:33" x14ac:dyDescent="0.25">
      <c r="A108" t="s">
        <v>5</v>
      </c>
      <c r="B108" t="s">
        <v>50</v>
      </c>
      <c r="C108" t="s">
        <v>6</v>
      </c>
      <c r="D108" t="s">
        <v>24</v>
      </c>
      <c r="E108" t="s">
        <v>48</v>
      </c>
      <c r="F108" t="s">
        <v>9</v>
      </c>
      <c r="G108" t="s">
        <v>3</v>
      </c>
    </row>
    <row r="109" spans="1:33" x14ac:dyDescent="0.25">
      <c r="A109">
        <v>2.5</v>
      </c>
      <c r="B109">
        <v>0.89100000000000001</v>
      </c>
      <c r="C109" t="s">
        <v>0</v>
      </c>
      <c r="D109">
        <v>0.88300000000000001</v>
      </c>
      <c r="E109">
        <f>(((B109-D109)/B109)*100)</f>
        <v>0.897867564534232</v>
      </c>
      <c r="F109" s="5">
        <f>AVERAGE(E109:E111)</f>
        <v>0.52375607931163526</v>
      </c>
      <c r="G109" s="5">
        <f>STDEV(E109:E111)</f>
        <v>0.34287883987698053</v>
      </c>
    </row>
    <row r="110" spans="1:33" x14ac:dyDescent="0.25">
      <c r="A110">
        <v>2.5</v>
      </c>
      <c r="B110">
        <v>0.89100000000000001</v>
      </c>
      <c r="C110" t="s">
        <v>1</v>
      </c>
      <c r="D110">
        <v>0.88700000000000001</v>
      </c>
      <c r="E110">
        <f t="shared" ref="E110:E129" si="5">(((B110-D110)/B110)*100)</f>
        <v>0.448933782267116</v>
      </c>
      <c r="I110" s="2" t="s">
        <v>13</v>
      </c>
    </row>
    <row r="111" spans="1:33" x14ac:dyDescent="0.25">
      <c r="A111">
        <v>2.5</v>
      </c>
      <c r="B111">
        <v>0.89100000000000001</v>
      </c>
      <c r="C111" t="s">
        <v>2</v>
      </c>
      <c r="D111">
        <v>0.88900000000000001</v>
      </c>
      <c r="E111">
        <f t="shared" si="5"/>
        <v>0.224466891133558</v>
      </c>
      <c r="I111" t="s">
        <v>10</v>
      </c>
      <c r="J111" t="s">
        <v>9</v>
      </c>
      <c r="T111" t="s">
        <v>10</v>
      </c>
      <c r="U111" t="s">
        <v>53</v>
      </c>
      <c r="AF111" t="s">
        <v>10</v>
      </c>
      <c r="AG111" t="s">
        <v>54</v>
      </c>
    </row>
    <row r="112" spans="1:33" x14ac:dyDescent="0.25">
      <c r="A112">
        <v>5</v>
      </c>
      <c r="B112">
        <v>0.89100000000000001</v>
      </c>
      <c r="C112" t="s">
        <v>0</v>
      </c>
      <c r="D112">
        <v>0.83899999999999997</v>
      </c>
      <c r="E112">
        <f t="shared" si="5"/>
        <v>5.8361391694725082</v>
      </c>
      <c r="F112">
        <f>AVERAGE(E112:E114)</f>
        <v>6.0980172091283258</v>
      </c>
      <c r="G112">
        <f>STDEV(E112:E114)</f>
        <v>0.23363254763929681</v>
      </c>
      <c r="I112">
        <v>2.5</v>
      </c>
      <c r="J112">
        <v>0.52</v>
      </c>
      <c r="T112">
        <v>2.5</v>
      </c>
      <c r="U112">
        <v>0.18</v>
      </c>
      <c r="AF112">
        <v>2.5</v>
      </c>
      <c r="AG112">
        <v>0.86</v>
      </c>
    </row>
    <row r="113" spans="1:46" x14ac:dyDescent="0.25">
      <c r="A113">
        <v>5</v>
      </c>
      <c r="B113">
        <v>0.89100000000000001</v>
      </c>
      <c r="C113" t="s">
        <v>1</v>
      </c>
      <c r="D113">
        <v>0.83499999999999996</v>
      </c>
      <c r="E113">
        <f t="shared" si="5"/>
        <v>6.2850729517396244</v>
      </c>
      <c r="I113">
        <v>5</v>
      </c>
      <c r="J113">
        <v>6.09</v>
      </c>
      <c r="T113">
        <v>5</v>
      </c>
      <c r="U113">
        <v>5.86</v>
      </c>
      <c r="AF113">
        <v>5</v>
      </c>
      <c r="AG113">
        <v>6.33</v>
      </c>
      <c r="AS113" t="s">
        <v>55</v>
      </c>
      <c r="AT113" t="s">
        <v>3</v>
      </c>
    </row>
    <row r="114" spans="1:46" x14ac:dyDescent="0.25">
      <c r="A114">
        <v>5</v>
      </c>
      <c r="B114">
        <v>0.89100000000000001</v>
      </c>
      <c r="C114" t="s">
        <v>2</v>
      </c>
      <c r="D114">
        <v>0.83599999999999997</v>
      </c>
      <c r="E114">
        <f t="shared" si="5"/>
        <v>6.1728395061728447</v>
      </c>
      <c r="I114">
        <v>10</v>
      </c>
      <c r="J114">
        <v>14.55</v>
      </c>
      <c r="T114">
        <v>10</v>
      </c>
      <c r="U114">
        <v>14.27</v>
      </c>
      <c r="AF114">
        <v>10</v>
      </c>
      <c r="AG114">
        <v>14.83</v>
      </c>
      <c r="AS114">
        <f>(50-11.957)/0.2626</f>
        <v>144.87052551408988</v>
      </c>
      <c r="AT114">
        <f>STDEV(AS114:AS116)</f>
        <v>1.3098774064286856</v>
      </c>
    </row>
    <row r="115" spans="1:46" x14ac:dyDescent="0.25">
      <c r="A115">
        <v>10</v>
      </c>
      <c r="B115">
        <v>0.89100000000000001</v>
      </c>
      <c r="C115" t="s">
        <v>0</v>
      </c>
      <c r="D115">
        <v>0.76400000000000001</v>
      </c>
      <c r="E115">
        <f t="shared" si="5"/>
        <v>14.25364758698092</v>
      </c>
      <c r="F115">
        <f>AVERAGE(E115:E117)</f>
        <v>14.552936775158997</v>
      </c>
      <c r="G115">
        <f>STDEV(E115:E117)</f>
        <v>0.28244797737638366</v>
      </c>
      <c r="I115">
        <v>20</v>
      </c>
      <c r="J115">
        <v>24.57</v>
      </c>
      <c r="T115">
        <v>20</v>
      </c>
      <c r="U115">
        <v>24.24</v>
      </c>
      <c r="AF115">
        <v>20</v>
      </c>
      <c r="AG115">
        <v>24.91</v>
      </c>
      <c r="AS115">
        <f>(50-11.643)/0.2624</f>
        <v>146.17759146341461</v>
      </c>
    </row>
    <row r="116" spans="1:46" x14ac:dyDescent="0.25">
      <c r="A116">
        <v>10</v>
      </c>
      <c r="B116">
        <v>0.89100000000000001</v>
      </c>
      <c r="C116" t="s">
        <v>1</v>
      </c>
      <c r="D116">
        <v>0.75900000000000001</v>
      </c>
      <c r="E116">
        <f t="shared" si="5"/>
        <v>14.814814814814813</v>
      </c>
      <c r="I116">
        <v>40</v>
      </c>
      <c r="J116">
        <v>33.78</v>
      </c>
      <c r="T116">
        <v>40</v>
      </c>
      <c r="U116">
        <v>33.33</v>
      </c>
      <c r="AF116">
        <v>40</v>
      </c>
      <c r="AG116">
        <v>34.229999999999997</v>
      </c>
      <c r="AS116">
        <f>(50-12.273)/0.2628</f>
        <v>143.55783866057843</v>
      </c>
    </row>
    <row r="117" spans="1:46" x14ac:dyDescent="0.25">
      <c r="A117">
        <v>10</v>
      </c>
      <c r="B117">
        <v>0.89100000000000001</v>
      </c>
      <c r="C117" t="s">
        <v>2</v>
      </c>
      <c r="D117">
        <v>0.76100000000000001</v>
      </c>
      <c r="E117">
        <f t="shared" si="5"/>
        <v>14.590347923681257</v>
      </c>
      <c r="I117">
        <v>80</v>
      </c>
      <c r="J117">
        <v>40.89</v>
      </c>
      <c r="T117">
        <v>80</v>
      </c>
      <c r="U117">
        <v>40.6</v>
      </c>
      <c r="AF117">
        <v>80</v>
      </c>
      <c r="AG117">
        <v>41.17</v>
      </c>
    </row>
    <row r="118" spans="1:46" x14ac:dyDescent="0.25">
      <c r="A118">
        <v>20</v>
      </c>
      <c r="B118">
        <v>0.89100000000000001</v>
      </c>
      <c r="C118" t="s">
        <v>0</v>
      </c>
      <c r="D118">
        <v>0.67200000000000004</v>
      </c>
      <c r="E118">
        <f t="shared" si="5"/>
        <v>24.579124579124574</v>
      </c>
      <c r="F118">
        <f>AVERAGE(E118:E120)</f>
        <v>24.579124579124578</v>
      </c>
      <c r="G118">
        <f>STDEV(E118:E120)</f>
        <v>0.33670033670033739</v>
      </c>
      <c r="I118">
        <v>160</v>
      </c>
      <c r="J118">
        <v>46.68</v>
      </c>
      <c r="T118">
        <v>160</v>
      </c>
      <c r="U118">
        <v>46.35</v>
      </c>
      <c r="AF118">
        <v>160</v>
      </c>
      <c r="AG118">
        <v>47.02</v>
      </c>
    </row>
    <row r="119" spans="1:46" x14ac:dyDescent="0.25">
      <c r="A119">
        <v>20</v>
      </c>
      <c r="B119">
        <v>0.89100000000000001</v>
      </c>
      <c r="C119" t="s">
        <v>1</v>
      </c>
      <c r="D119">
        <v>0.67500000000000004</v>
      </c>
      <c r="E119">
        <f t="shared" si="5"/>
        <v>24.242424242424239</v>
      </c>
    </row>
    <row r="120" spans="1:46" x14ac:dyDescent="0.25">
      <c r="A120">
        <v>20</v>
      </c>
      <c r="B120">
        <v>0.89100000000000001</v>
      </c>
      <c r="C120" t="s">
        <v>2</v>
      </c>
      <c r="D120">
        <v>0.66900000000000004</v>
      </c>
      <c r="E120">
        <f t="shared" si="5"/>
        <v>24.915824915824913</v>
      </c>
    </row>
    <row r="121" spans="1:46" x14ac:dyDescent="0.25">
      <c r="A121">
        <v>40</v>
      </c>
      <c r="B121">
        <v>0.89100000000000001</v>
      </c>
      <c r="C121" t="s">
        <v>0</v>
      </c>
      <c r="D121">
        <v>0.59399999999999997</v>
      </c>
      <c r="E121">
        <f t="shared" si="5"/>
        <v>33.333333333333336</v>
      </c>
      <c r="F121">
        <f>AVERAGE(E121:E123)</f>
        <v>33.782267115600455</v>
      </c>
      <c r="G121">
        <f>STDEV(E121:E123)</f>
        <v>0.44893378226711533</v>
      </c>
      <c r="I121" t="s">
        <v>17</v>
      </c>
      <c r="J121">
        <f>(50-11.957)/0.2626</f>
        <v>144.87052551408988</v>
      </c>
      <c r="T121" t="s">
        <v>17</v>
      </c>
      <c r="U121">
        <f>(50-11.643)/0.2624</f>
        <v>146.17759146341461</v>
      </c>
      <c r="AF121" t="s">
        <v>17</v>
      </c>
      <c r="AG121">
        <f>(50-12.273)/0.2628</f>
        <v>143.55783866057843</v>
      </c>
    </row>
    <row r="122" spans="1:46" x14ac:dyDescent="0.25">
      <c r="A122">
        <v>40</v>
      </c>
      <c r="B122">
        <v>0.89100000000000001</v>
      </c>
      <c r="C122" t="s">
        <v>1</v>
      </c>
      <c r="D122">
        <v>0.59</v>
      </c>
      <c r="E122">
        <f t="shared" si="5"/>
        <v>33.782267115600455</v>
      </c>
    </row>
    <row r="123" spans="1:46" x14ac:dyDescent="0.25">
      <c r="A123">
        <v>40</v>
      </c>
      <c r="B123">
        <v>0.89100000000000001</v>
      </c>
      <c r="C123" t="s">
        <v>2</v>
      </c>
      <c r="D123">
        <v>0.58599999999999997</v>
      </c>
      <c r="E123">
        <f t="shared" si="5"/>
        <v>34.231200897867566</v>
      </c>
    </row>
    <row r="124" spans="1:46" x14ac:dyDescent="0.25">
      <c r="A124">
        <v>80</v>
      </c>
      <c r="B124">
        <v>0.89100000000000001</v>
      </c>
      <c r="C124" t="s">
        <v>0</v>
      </c>
      <c r="D124">
        <v>0.52900000000000003</v>
      </c>
      <c r="E124">
        <f t="shared" si="5"/>
        <v>40.628507295173961</v>
      </c>
      <c r="F124">
        <f>AVERAGE(E124:E126)</f>
        <v>40.89038533482978</v>
      </c>
      <c r="G124">
        <f>STDEV(E124:E126)</f>
        <v>0.28244797737638627</v>
      </c>
    </row>
    <row r="125" spans="1:46" x14ac:dyDescent="0.25">
      <c r="A125">
        <v>80</v>
      </c>
      <c r="B125">
        <v>0.89100000000000001</v>
      </c>
      <c r="C125" t="s">
        <v>1</v>
      </c>
      <c r="D125">
        <v>0.52400000000000002</v>
      </c>
      <c r="E125">
        <f t="shared" si="5"/>
        <v>41.189674523007859</v>
      </c>
    </row>
    <row r="126" spans="1:46" x14ac:dyDescent="0.25">
      <c r="A126">
        <v>80</v>
      </c>
      <c r="B126">
        <v>0.89100000000000001</v>
      </c>
      <c r="C126" t="s">
        <v>2</v>
      </c>
      <c r="D126">
        <v>0.52700000000000002</v>
      </c>
      <c r="E126">
        <f t="shared" si="5"/>
        <v>40.85297418630752</v>
      </c>
    </row>
    <row r="127" spans="1:46" x14ac:dyDescent="0.25">
      <c r="A127">
        <v>160</v>
      </c>
      <c r="B127">
        <v>0.89100000000000001</v>
      </c>
      <c r="C127" t="s">
        <v>0</v>
      </c>
      <c r="D127">
        <v>0.47499999999999998</v>
      </c>
      <c r="E127">
        <f t="shared" si="5"/>
        <v>46.689113355780023</v>
      </c>
      <c r="F127">
        <f>AVERAGE(E127:E129)</f>
        <v>46.689113355780023</v>
      </c>
      <c r="G127">
        <f>STDEV(E127:E129)</f>
        <v>0.33670033670033561</v>
      </c>
    </row>
    <row r="128" spans="1:46" x14ac:dyDescent="0.25">
      <c r="A128">
        <v>160</v>
      </c>
      <c r="B128">
        <v>0.89100000000000001</v>
      </c>
      <c r="C128" t="s">
        <v>1</v>
      </c>
      <c r="D128">
        <v>0.47799999999999998</v>
      </c>
      <c r="E128">
        <f t="shared" si="5"/>
        <v>46.352413019079691</v>
      </c>
    </row>
    <row r="129" spans="1:46" x14ac:dyDescent="0.25">
      <c r="A129">
        <v>160</v>
      </c>
      <c r="B129">
        <v>0.89100000000000001</v>
      </c>
      <c r="C129" t="s">
        <v>2</v>
      </c>
      <c r="D129">
        <v>0.47199999999999998</v>
      </c>
      <c r="E129">
        <f t="shared" si="5"/>
        <v>47.025813692480362</v>
      </c>
    </row>
    <row r="137" spans="1:46" x14ac:dyDescent="0.25">
      <c r="A137" t="s">
        <v>5</v>
      </c>
      <c r="B137" t="s">
        <v>50</v>
      </c>
      <c r="C137" t="s">
        <v>6</v>
      </c>
      <c r="D137" t="s">
        <v>24</v>
      </c>
      <c r="E137" t="s">
        <v>48</v>
      </c>
      <c r="F137" t="s">
        <v>9</v>
      </c>
      <c r="G137" t="s">
        <v>3</v>
      </c>
    </row>
    <row r="138" spans="1:46" x14ac:dyDescent="0.25">
      <c r="A138">
        <v>2.5</v>
      </c>
      <c r="B138">
        <v>0.89100000000000001</v>
      </c>
      <c r="C138" t="s">
        <v>0</v>
      </c>
      <c r="D138">
        <v>0.873</v>
      </c>
      <c r="E138">
        <f>(((B138-D138)/B138)*100)</f>
        <v>2.0202020202020221</v>
      </c>
      <c r="F138">
        <f>AVERAGE(E138:E140)</f>
        <v>1.7209128320239448</v>
      </c>
      <c r="G138">
        <f>STDEV(E138:E140)</f>
        <v>0.3428788398769802</v>
      </c>
    </row>
    <row r="139" spans="1:46" x14ac:dyDescent="0.25">
      <c r="A139">
        <v>2.5</v>
      </c>
      <c r="B139">
        <v>0.89100000000000001</v>
      </c>
      <c r="C139" t="s">
        <v>1</v>
      </c>
      <c r="D139">
        <v>0.879</v>
      </c>
      <c r="E139">
        <f t="shared" ref="E139:E158" si="6">(((B139-D139)/B139)*100)</f>
        <v>1.346801346801348</v>
      </c>
      <c r="I139" s="2" t="s">
        <v>12</v>
      </c>
    </row>
    <row r="140" spans="1:46" x14ac:dyDescent="0.25">
      <c r="A140">
        <v>2.5</v>
      </c>
      <c r="B140">
        <v>0.89100000000000001</v>
      </c>
      <c r="C140" t="s">
        <v>2</v>
      </c>
      <c r="D140">
        <v>0.875</v>
      </c>
      <c r="E140">
        <f t="shared" si="6"/>
        <v>1.795735129068464</v>
      </c>
      <c r="I140" t="s">
        <v>10</v>
      </c>
      <c r="J140" t="s">
        <v>9</v>
      </c>
      <c r="T140" t="s">
        <v>10</v>
      </c>
      <c r="U140" t="s">
        <v>53</v>
      </c>
      <c r="AF140" t="s">
        <v>10</v>
      </c>
      <c r="AG140" t="s">
        <v>54</v>
      </c>
    </row>
    <row r="141" spans="1:46" x14ac:dyDescent="0.25">
      <c r="A141">
        <v>5</v>
      </c>
      <c r="B141">
        <v>0.89100000000000001</v>
      </c>
      <c r="C141" t="s">
        <v>0</v>
      </c>
      <c r="D141">
        <v>0.80700000000000005</v>
      </c>
      <c r="E141">
        <f t="shared" si="6"/>
        <v>9.4276094276094238</v>
      </c>
      <c r="F141">
        <f>AVERAGE(E141:E143)</f>
        <v>9.2779648335203841</v>
      </c>
      <c r="G141">
        <f>STDEV(E141:E143)</f>
        <v>0.36078005091630955</v>
      </c>
      <c r="I141">
        <v>2.5</v>
      </c>
      <c r="J141">
        <v>1.72</v>
      </c>
      <c r="T141">
        <v>2.5</v>
      </c>
      <c r="U141">
        <v>1.37</v>
      </c>
      <c r="AF141">
        <v>2.5</v>
      </c>
      <c r="AG141">
        <v>2.06</v>
      </c>
    </row>
    <row r="142" spans="1:46" x14ac:dyDescent="0.25">
      <c r="A142">
        <v>5</v>
      </c>
      <c r="B142">
        <v>0.89100000000000001</v>
      </c>
      <c r="C142" t="s">
        <v>1</v>
      </c>
      <c r="D142">
        <v>0.81200000000000006</v>
      </c>
      <c r="E142">
        <f t="shared" si="6"/>
        <v>8.8664421997755287</v>
      </c>
      <c r="I142">
        <v>5</v>
      </c>
      <c r="J142">
        <v>9.27</v>
      </c>
      <c r="T142">
        <v>5</v>
      </c>
      <c r="U142">
        <v>8.91</v>
      </c>
      <c r="AF142">
        <v>5</v>
      </c>
      <c r="AG142">
        <v>9.6300000000000008</v>
      </c>
      <c r="AS142" t="s">
        <v>55</v>
      </c>
      <c r="AT142" t="s">
        <v>3</v>
      </c>
    </row>
    <row r="143" spans="1:46" x14ac:dyDescent="0.25">
      <c r="A143">
        <v>5</v>
      </c>
      <c r="B143">
        <v>0.89100000000000001</v>
      </c>
      <c r="C143" t="s">
        <v>2</v>
      </c>
      <c r="D143">
        <v>0.80600000000000005</v>
      </c>
      <c r="E143">
        <f t="shared" si="6"/>
        <v>9.5398428731762017</v>
      </c>
      <c r="I143">
        <v>10</v>
      </c>
      <c r="J143">
        <v>13.65</v>
      </c>
      <c r="T143">
        <v>10</v>
      </c>
      <c r="U143">
        <v>12.78</v>
      </c>
      <c r="AF143">
        <v>10</v>
      </c>
      <c r="AG143">
        <v>14.52</v>
      </c>
      <c r="AS143">
        <f>(50-10.494)/0.1833</f>
        <v>215.52645935624659</v>
      </c>
      <c r="AT143">
        <f>STDEV(AS143:AS145)</f>
        <v>3.4172799538079794</v>
      </c>
    </row>
    <row r="144" spans="1:46" x14ac:dyDescent="0.25">
      <c r="A144">
        <v>10</v>
      </c>
      <c r="B144">
        <v>0.89100000000000001</v>
      </c>
      <c r="C144" t="s">
        <v>0</v>
      </c>
      <c r="D144">
        <v>0.76300000000000001</v>
      </c>
      <c r="E144">
        <f t="shared" si="6"/>
        <v>14.365881032547701</v>
      </c>
      <c r="F144">
        <f>AVERAGE(E144:E146)</f>
        <v>13.655069210624767</v>
      </c>
      <c r="G144">
        <f>STDEV(E144:E146)</f>
        <v>0.87176806567385556</v>
      </c>
      <c r="I144">
        <v>20</v>
      </c>
      <c r="J144">
        <v>17.88</v>
      </c>
      <c r="T144">
        <v>20</v>
      </c>
      <c r="U144">
        <v>17.37</v>
      </c>
      <c r="AF144">
        <v>20</v>
      </c>
      <c r="AG144">
        <v>18.38</v>
      </c>
      <c r="AS144">
        <f>(50-10.017)/0.1826</f>
        <v>218.96495071193868</v>
      </c>
    </row>
    <row r="145" spans="1:45" x14ac:dyDescent="0.25">
      <c r="A145">
        <v>10</v>
      </c>
      <c r="B145">
        <v>0.89100000000000001</v>
      </c>
      <c r="C145" t="s">
        <v>1</v>
      </c>
      <c r="D145">
        <v>0.77800000000000002</v>
      </c>
      <c r="E145">
        <f t="shared" si="6"/>
        <v>12.682379349046013</v>
      </c>
      <c r="I145">
        <v>40</v>
      </c>
      <c r="J145">
        <v>23.41</v>
      </c>
      <c r="T145">
        <v>40</v>
      </c>
      <c r="U145">
        <v>23.07</v>
      </c>
      <c r="AF145">
        <v>40</v>
      </c>
      <c r="AG145">
        <v>23.76</v>
      </c>
      <c r="AS145">
        <f>(50-10.968)/0.184</f>
        <v>212.13043478260869</v>
      </c>
    </row>
    <row r="146" spans="1:45" x14ac:dyDescent="0.25">
      <c r="A146">
        <v>10</v>
      </c>
      <c r="B146">
        <v>0.89100000000000001</v>
      </c>
      <c r="C146" t="s">
        <v>2</v>
      </c>
      <c r="D146">
        <v>0.76700000000000002</v>
      </c>
      <c r="E146">
        <f t="shared" si="6"/>
        <v>13.916947250280584</v>
      </c>
      <c r="I146">
        <v>80</v>
      </c>
      <c r="J146">
        <v>30.11</v>
      </c>
      <c r="T146">
        <v>80</v>
      </c>
      <c r="U146">
        <v>29.6</v>
      </c>
      <c r="AF146">
        <v>80</v>
      </c>
      <c r="AG146">
        <v>30.62</v>
      </c>
    </row>
    <row r="147" spans="1:45" x14ac:dyDescent="0.25">
      <c r="A147">
        <v>20</v>
      </c>
      <c r="B147">
        <v>0.89100000000000001</v>
      </c>
      <c r="C147" t="s">
        <v>0</v>
      </c>
      <c r="D147">
        <v>0.73199999999999998</v>
      </c>
      <c r="E147">
        <f t="shared" si="6"/>
        <v>17.845117845117848</v>
      </c>
      <c r="F147">
        <f>AVERAGE(E147:E149)</f>
        <v>17.882528993640108</v>
      </c>
      <c r="G147">
        <f>STDEV(E147:E149)</f>
        <v>0.50608863668045967</v>
      </c>
      <c r="I147">
        <v>160</v>
      </c>
      <c r="J147">
        <v>35.61</v>
      </c>
      <c r="T147">
        <v>160</v>
      </c>
      <c r="U147">
        <v>34.99</v>
      </c>
      <c r="AF147">
        <v>160</v>
      </c>
      <c r="AG147">
        <v>36.229999999999997</v>
      </c>
    </row>
    <row r="148" spans="1:45" x14ac:dyDescent="0.25">
      <c r="A148">
        <v>20</v>
      </c>
      <c r="B148">
        <v>0.89100000000000001</v>
      </c>
      <c r="C148" t="s">
        <v>1</v>
      </c>
      <c r="D148">
        <v>0.72699999999999998</v>
      </c>
      <c r="E148">
        <f t="shared" si="6"/>
        <v>18.406285072951743</v>
      </c>
    </row>
    <row r="149" spans="1:45" x14ac:dyDescent="0.25">
      <c r="A149">
        <v>20</v>
      </c>
      <c r="B149">
        <v>0.89100000000000001</v>
      </c>
      <c r="C149" t="s">
        <v>2</v>
      </c>
      <c r="D149">
        <v>0.73599999999999999</v>
      </c>
      <c r="E149">
        <f t="shared" si="6"/>
        <v>17.396184062850732</v>
      </c>
    </row>
    <row r="150" spans="1:45" x14ac:dyDescent="0.25">
      <c r="A150">
        <v>40</v>
      </c>
      <c r="B150">
        <v>0.89100000000000001</v>
      </c>
      <c r="C150" t="s">
        <v>0</v>
      </c>
      <c r="D150">
        <v>0.68500000000000005</v>
      </c>
      <c r="E150">
        <f t="shared" si="6"/>
        <v>23.120089786756449</v>
      </c>
      <c r="F150">
        <f>AVERAGE(E150:E152)</f>
        <v>23.419378974934528</v>
      </c>
      <c r="G150">
        <f>STDEV(E150:E152)</f>
        <v>0.34287883987698076</v>
      </c>
      <c r="I150" t="s">
        <v>17</v>
      </c>
      <c r="J150">
        <f>(50-10.494)/0.1833</f>
        <v>215.52645935624659</v>
      </c>
      <c r="T150" t="s">
        <v>17</v>
      </c>
      <c r="U150">
        <f>(50-10.017)/0.1826</f>
        <v>218.96495071193868</v>
      </c>
      <c r="AF150" t="s">
        <v>17</v>
      </c>
      <c r="AG150">
        <f>(50-10.968)/0.184</f>
        <v>212.13043478260869</v>
      </c>
    </row>
    <row r="151" spans="1:45" x14ac:dyDescent="0.25">
      <c r="A151">
        <v>40</v>
      </c>
      <c r="B151">
        <v>0.89100000000000001</v>
      </c>
      <c r="C151" t="s">
        <v>1</v>
      </c>
      <c r="D151">
        <v>0.68300000000000005</v>
      </c>
      <c r="E151">
        <f t="shared" si="6"/>
        <v>23.344556677890008</v>
      </c>
    </row>
    <row r="152" spans="1:45" x14ac:dyDescent="0.25">
      <c r="A152">
        <v>40</v>
      </c>
      <c r="B152">
        <v>0.89100000000000001</v>
      </c>
      <c r="C152" t="s">
        <v>2</v>
      </c>
      <c r="D152">
        <v>0.67900000000000005</v>
      </c>
      <c r="E152">
        <f t="shared" si="6"/>
        <v>23.793490460157123</v>
      </c>
    </row>
    <row r="153" spans="1:45" x14ac:dyDescent="0.25">
      <c r="A153">
        <v>80</v>
      </c>
      <c r="B153">
        <v>0.89100000000000001</v>
      </c>
      <c r="C153" t="s">
        <v>0</v>
      </c>
      <c r="D153">
        <v>0.627</v>
      </c>
      <c r="E153">
        <f t="shared" si="6"/>
        <v>29.629629629629626</v>
      </c>
      <c r="F153">
        <f>AVERAGE(E153:E155)</f>
        <v>30.115974560419005</v>
      </c>
      <c r="G153">
        <f>STDEV(E153:E155)</f>
        <v>0.50608863668046122</v>
      </c>
    </row>
    <row r="154" spans="1:45" x14ac:dyDescent="0.25">
      <c r="A154">
        <v>80</v>
      </c>
      <c r="B154">
        <v>0.89100000000000001</v>
      </c>
      <c r="C154" t="s">
        <v>1</v>
      </c>
      <c r="D154">
        <v>0.623</v>
      </c>
      <c r="E154">
        <f t="shared" si="6"/>
        <v>30.078563411896749</v>
      </c>
    </row>
    <row r="155" spans="1:45" x14ac:dyDescent="0.25">
      <c r="A155">
        <v>80</v>
      </c>
      <c r="B155">
        <v>0.89100000000000001</v>
      </c>
      <c r="C155" t="s">
        <v>2</v>
      </c>
      <c r="D155">
        <v>0.61799999999999999</v>
      </c>
      <c r="E155">
        <f t="shared" si="6"/>
        <v>30.63973063973064</v>
      </c>
    </row>
    <row r="156" spans="1:45" x14ac:dyDescent="0.25">
      <c r="A156">
        <v>160</v>
      </c>
      <c r="B156">
        <v>0.89100000000000001</v>
      </c>
      <c r="C156" t="s">
        <v>0</v>
      </c>
      <c r="D156">
        <v>0.57399999999999995</v>
      </c>
      <c r="E156">
        <f t="shared" si="6"/>
        <v>35.578002244668916</v>
      </c>
      <c r="F156">
        <f>AVERAGE(E156:E158)</f>
        <v>35.615413393191176</v>
      </c>
      <c r="G156">
        <f>STDEV(E156:E158)</f>
        <v>0.61813361922403054</v>
      </c>
    </row>
    <row r="157" spans="1:45" x14ac:dyDescent="0.25">
      <c r="A157">
        <v>160</v>
      </c>
      <c r="B157">
        <v>0.89100000000000001</v>
      </c>
      <c r="C157" t="s">
        <v>1</v>
      </c>
      <c r="D157">
        <v>0.57899999999999996</v>
      </c>
      <c r="E157">
        <f t="shared" si="6"/>
        <v>35.016835016835024</v>
      </c>
    </row>
    <row r="158" spans="1:45" x14ac:dyDescent="0.25">
      <c r="A158">
        <v>160</v>
      </c>
      <c r="B158">
        <v>0.89100000000000001</v>
      </c>
      <c r="C158" t="s">
        <v>2</v>
      </c>
      <c r="D158">
        <v>0.56799999999999995</v>
      </c>
      <c r="E158">
        <f t="shared" si="6"/>
        <v>36.251402918069594</v>
      </c>
    </row>
    <row r="167" spans="2:3" x14ac:dyDescent="0.25">
      <c r="B167" s="3" t="s">
        <v>51</v>
      </c>
    </row>
    <row r="168" spans="2:3" x14ac:dyDescent="0.25">
      <c r="B168" t="s">
        <v>31</v>
      </c>
    </row>
    <row r="169" spans="2:3" x14ac:dyDescent="0.25">
      <c r="C169">
        <v>0.89500000000000002</v>
      </c>
    </row>
    <row r="170" spans="2:3" x14ac:dyDescent="0.25">
      <c r="C170">
        <v>0.89200000000000002</v>
      </c>
    </row>
    <row r="171" spans="2:3" x14ac:dyDescent="0.25">
      <c r="C171">
        <v>0.88600000000000001</v>
      </c>
    </row>
    <row r="172" spans="2:3" x14ac:dyDescent="0.25">
      <c r="B172" t="s">
        <v>22</v>
      </c>
      <c r="C172">
        <f>AVERAGE(C169:C171)</f>
        <v>0.89100000000000001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F17" sqref="F17"/>
    </sheetView>
  </sheetViews>
  <sheetFormatPr defaultRowHeight="15" x14ac:dyDescent="0.25"/>
  <sheetData>
    <row r="1" spans="2:8" x14ac:dyDescent="0.25">
      <c r="B1" s="2" t="s">
        <v>35</v>
      </c>
    </row>
    <row r="2" spans="2:8" x14ac:dyDescent="0.25">
      <c r="B2" s="2" t="s">
        <v>33</v>
      </c>
      <c r="C2" s="2" t="s">
        <v>23</v>
      </c>
      <c r="D2" s="2" t="s">
        <v>34</v>
      </c>
      <c r="E2" s="2" t="s">
        <v>26</v>
      </c>
    </row>
    <row r="3" spans="2:8" x14ac:dyDescent="0.25">
      <c r="B3">
        <v>10</v>
      </c>
      <c r="C3" t="s">
        <v>0</v>
      </c>
      <c r="D3">
        <v>0.32700000000000001</v>
      </c>
      <c r="E3">
        <f>AVERAGE(D3:D5)</f>
        <v>0.32966666666666672</v>
      </c>
    </row>
    <row r="4" spans="2:8" x14ac:dyDescent="0.25">
      <c r="B4">
        <v>10</v>
      </c>
      <c r="C4" t="s">
        <v>1</v>
      </c>
      <c r="D4">
        <v>0.32800000000000001</v>
      </c>
      <c r="G4" t="s">
        <v>33</v>
      </c>
      <c r="H4" t="s">
        <v>26</v>
      </c>
    </row>
    <row r="5" spans="2:8" x14ac:dyDescent="0.25">
      <c r="B5">
        <v>10</v>
      </c>
      <c r="C5" t="s">
        <v>2</v>
      </c>
      <c r="D5">
        <v>0.33400000000000002</v>
      </c>
      <c r="G5">
        <v>10</v>
      </c>
      <c r="H5">
        <v>0.32900000000000001</v>
      </c>
    </row>
    <row r="6" spans="2:8" x14ac:dyDescent="0.25">
      <c r="B6">
        <v>20</v>
      </c>
      <c r="C6" t="s">
        <v>0</v>
      </c>
      <c r="D6">
        <v>0.42699999999999999</v>
      </c>
      <c r="E6">
        <f>AVERAGE(D6:D8)</f>
        <v>0.4326666666666667</v>
      </c>
      <c r="G6">
        <v>20</v>
      </c>
      <c r="H6">
        <v>0.432</v>
      </c>
    </row>
    <row r="7" spans="2:8" x14ac:dyDescent="0.25">
      <c r="B7">
        <v>20</v>
      </c>
      <c r="C7" t="s">
        <v>1</v>
      </c>
      <c r="D7">
        <v>0.439</v>
      </c>
      <c r="G7">
        <v>30</v>
      </c>
      <c r="H7">
        <v>0.52300000000000002</v>
      </c>
    </row>
    <row r="8" spans="2:8" x14ac:dyDescent="0.25">
      <c r="B8">
        <v>20</v>
      </c>
      <c r="C8" t="s">
        <v>2</v>
      </c>
      <c r="D8">
        <v>0.432</v>
      </c>
      <c r="G8">
        <v>40</v>
      </c>
      <c r="H8">
        <v>0.65</v>
      </c>
    </row>
    <row r="9" spans="2:8" x14ac:dyDescent="0.25">
      <c r="B9">
        <v>30</v>
      </c>
      <c r="C9" t="s">
        <v>0</v>
      </c>
      <c r="D9">
        <v>0.53200000000000003</v>
      </c>
      <c r="E9">
        <f>AVERAGE(D9:D11)</f>
        <v>0.52366666666666672</v>
      </c>
      <c r="G9">
        <v>50</v>
      </c>
      <c r="H9">
        <v>0.78700000000000003</v>
      </c>
    </row>
    <row r="10" spans="2:8" x14ac:dyDescent="0.25">
      <c r="B10">
        <v>30</v>
      </c>
      <c r="C10" t="s">
        <v>1</v>
      </c>
      <c r="D10">
        <v>0.51600000000000001</v>
      </c>
    </row>
    <row r="11" spans="2:8" x14ac:dyDescent="0.25">
      <c r="B11">
        <v>30</v>
      </c>
      <c r="C11" t="s">
        <v>2</v>
      </c>
      <c r="D11">
        <v>0.52300000000000002</v>
      </c>
    </row>
    <row r="12" spans="2:8" x14ac:dyDescent="0.25">
      <c r="B12">
        <v>40</v>
      </c>
      <c r="C12" t="s">
        <v>0</v>
      </c>
      <c r="D12">
        <v>0.65200000000000002</v>
      </c>
      <c r="E12">
        <f>AVERAGE(D12:D14)</f>
        <v>0.65066666666666673</v>
      </c>
    </row>
    <row r="13" spans="2:8" x14ac:dyDescent="0.25">
      <c r="B13">
        <v>40</v>
      </c>
      <c r="C13" t="s">
        <v>1</v>
      </c>
      <c r="D13">
        <v>0.64900000000000002</v>
      </c>
    </row>
    <row r="14" spans="2:8" x14ac:dyDescent="0.25">
      <c r="B14">
        <v>40</v>
      </c>
      <c r="C14" t="s">
        <v>2</v>
      </c>
      <c r="D14">
        <v>0.65100000000000002</v>
      </c>
    </row>
    <row r="15" spans="2:8" x14ac:dyDescent="0.25">
      <c r="B15">
        <v>50</v>
      </c>
      <c r="C15" t="s">
        <v>0</v>
      </c>
      <c r="D15">
        <v>0.78600000000000003</v>
      </c>
      <c r="E15">
        <f>AVERAGE(D15:D17)</f>
        <v>0.78733333333333333</v>
      </c>
    </row>
    <row r="16" spans="2:8" x14ac:dyDescent="0.25">
      <c r="B16">
        <v>50</v>
      </c>
      <c r="C16" t="s">
        <v>1</v>
      </c>
      <c r="D16">
        <v>0.78700000000000003</v>
      </c>
    </row>
    <row r="17" spans="1:10" x14ac:dyDescent="0.25">
      <c r="B17">
        <v>50</v>
      </c>
      <c r="C17" t="s">
        <v>2</v>
      </c>
      <c r="D17">
        <v>0.78900000000000003</v>
      </c>
    </row>
    <row r="23" spans="1:10" x14ac:dyDescent="0.25">
      <c r="A23" s="2" t="s">
        <v>57</v>
      </c>
      <c r="B23" s="2" t="s">
        <v>40</v>
      </c>
      <c r="C23" s="2" t="s">
        <v>23</v>
      </c>
      <c r="D23" s="2" t="s">
        <v>34</v>
      </c>
      <c r="E23" s="2" t="s">
        <v>36</v>
      </c>
      <c r="F23" s="2" t="s">
        <v>37</v>
      </c>
      <c r="G23" s="2" t="s">
        <v>38</v>
      </c>
      <c r="H23" s="2" t="s">
        <v>39</v>
      </c>
      <c r="I23" s="2" t="s">
        <v>26</v>
      </c>
      <c r="J23" s="2" t="s">
        <v>3</v>
      </c>
    </row>
    <row r="24" spans="1:10" x14ac:dyDescent="0.25">
      <c r="A24" s="2" t="s">
        <v>25</v>
      </c>
      <c r="B24">
        <v>100</v>
      </c>
      <c r="C24" t="s">
        <v>0</v>
      </c>
      <c r="D24" s="4">
        <v>6.984</v>
      </c>
      <c r="E24">
        <v>1.1299999999999999E-2</v>
      </c>
      <c r="F24">
        <v>0.20399999999999999</v>
      </c>
      <c r="G24">
        <f t="shared" ref="G24:G26" si="0">((D24-F24)/E24)</f>
        <v>600.00000000000011</v>
      </c>
      <c r="H24">
        <f t="shared" ref="H24:H26" si="1">(G24*10)/10</f>
        <v>600.00000000000011</v>
      </c>
    </row>
    <row r="25" spans="1:10" x14ac:dyDescent="0.25">
      <c r="A25" s="2" t="s">
        <v>25</v>
      </c>
      <c r="B25">
        <v>100</v>
      </c>
      <c r="C25" t="s">
        <v>1</v>
      </c>
      <c r="D25" s="4">
        <v>6.9820000000000002</v>
      </c>
      <c r="E25">
        <v>1.1299999999999999E-2</v>
      </c>
      <c r="F25">
        <v>0.20399999999999999</v>
      </c>
      <c r="G25">
        <f t="shared" si="0"/>
        <v>599.8230088495576</v>
      </c>
      <c r="H25">
        <f t="shared" si="1"/>
        <v>599.8230088495576</v>
      </c>
      <c r="I25">
        <f>AVERAGE(H24:H26)</f>
        <v>600.02949852507379</v>
      </c>
      <c r="J25">
        <f>STDEV(H24:H26)</f>
        <v>0.22270898039145795</v>
      </c>
    </row>
    <row r="26" spans="1:10" x14ac:dyDescent="0.25">
      <c r="A26" s="2" t="s">
        <v>25</v>
      </c>
      <c r="B26">
        <v>100</v>
      </c>
      <c r="C26" t="s">
        <v>2</v>
      </c>
      <c r="D26" s="4">
        <v>6.9870000000000001</v>
      </c>
      <c r="E26">
        <v>1.1299999999999999E-2</v>
      </c>
      <c r="F26">
        <v>0.20399999999999999</v>
      </c>
      <c r="G26">
        <f t="shared" si="0"/>
        <v>600.26548672566378</v>
      </c>
      <c r="H26">
        <f t="shared" si="1"/>
        <v>600.26548672566378</v>
      </c>
    </row>
    <row r="28" spans="1:10" x14ac:dyDescent="0.25">
      <c r="A28" s="2" t="s">
        <v>76</v>
      </c>
    </row>
    <row r="29" spans="1:10" x14ac:dyDescent="0.25">
      <c r="B29">
        <v>100</v>
      </c>
      <c r="C29" t="s">
        <v>0</v>
      </c>
      <c r="D29">
        <v>0.83699999999999997</v>
      </c>
      <c r="E29">
        <v>1.1299999999999999E-2</v>
      </c>
      <c r="F29">
        <v>0.20399999999999999</v>
      </c>
      <c r="G29">
        <f>((D29-F29)/E29)</f>
        <v>56.017699115044252</v>
      </c>
      <c r="H29">
        <f>(G29*10)/10</f>
        <v>56.017699115044252</v>
      </c>
    </row>
    <row r="30" spans="1:10" x14ac:dyDescent="0.25">
      <c r="B30">
        <v>100</v>
      </c>
      <c r="C30" t="s">
        <v>1</v>
      </c>
      <c r="D30">
        <v>0.86899999999999999</v>
      </c>
      <c r="E30">
        <v>1.1299999999999999E-2</v>
      </c>
      <c r="F30">
        <v>0.20399999999999999</v>
      </c>
      <c r="G30">
        <f>((D30-F30)/E30)</f>
        <v>58.849557522123902</v>
      </c>
      <c r="H30">
        <f>(G30*10)/10</f>
        <v>58.849557522123902</v>
      </c>
      <c r="I30">
        <f>AVERAGE(H29:H31)</f>
        <v>58.672566371681427</v>
      </c>
      <c r="J30">
        <f>STDEV(H29:H31)</f>
        <v>2.5709449639529161</v>
      </c>
    </row>
    <row r="31" spans="1:10" x14ac:dyDescent="0.25">
      <c r="B31">
        <v>100</v>
      </c>
      <c r="C31" t="s">
        <v>2</v>
      </c>
      <c r="D31">
        <v>0.89500000000000002</v>
      </c>
      <c r="E31">
        <v>1.1299999999999999E-2</v>
      </c>
      <c r="F31">
        <v>0.20399999999999999</v>
      </c>
      <c r="G31">
        <f>((D31-F31)/E31)</f>
        <v>61.150442477876112</v>
      </c>
      <c r="H31">
        <f>(G31*10)/10</f>
        <v>61.150442477876119</v>
      </c>
    </row>
    <row r="33" spans="1:11" x14ac:dyDescent="0.25">
      <c r="A33" s="2" t="s">
        <v>28</v>
      </c>
    </row>
    <row r="34" spans="1:11" x14ac:dyDescent="0.25">
      <c r="B34">
        <v>100</v>
      </c>
      <c r="C34" t="s">
        <v>0</v>
      </c>
      <c r="D34">
        <v>1.629</v>
      </c>
      <c r="E34">
        <v>1.1299999999999999E-2</v>
      </c>
      <c r="F34">
        <v>0.20399999999999999</v>
      </c>
      <c r="G34">
        <f>((D34-F34)/E34)</f>
        <v>126.1061946902655</v>
      </c>
      <c r="H34">
        <f t="shared" ref="H34:H36" si="2">(G34*10)/10</f>
        <v>126.10619469026548</v>
      </c>
    </row>
    <row r="35" spans="1:11" x14ac:dyDescent="0.25">
      <c r="B35">
        <v>100</v>
      </c>
      <c r="C35" t="s">
        <v>1</v>
      </c>
      <c r="D35">
        <v>1.6459999999999999</v>
      </c>
      <c r="E35">
        <v>1.1299999999999999E-2</v>
      </c>
      <c r="F35">
        <v>0.20399999999999999</v>
      </c>
      <c r="G35">
        <f>((D35-F35)/E35)</f>
        <v>127.61061946902655</v>
      </c>
      <c r="H35">
        <f t="shared" si="2"/>
        <v>127.61061946902655</v>
      </c>
      <c r="I35">
        <f>AVERAGE(H34:H36)</f>
        <v>127.10914454277285</v>
      </c>
      <c r="J35">
        <f>STDEV(H34:H36)</f>
        <v>0.86858005099324287</v>
      </c>
    </row>
    <row r="36" spans="1:11" x14ac:dyDescent="0.25">
      <c r="B36">
        <v>100</v>
      </c>
      <c r="C36" t="s">
        <v>2</v>
      </c>
      <c r="D36">
        <v>1.651</v>
      </c>
      <c r="E36">
        <v>1.1299999999999999E-2</v>
      </c>
      <c r="F36">
        <v>0.20399999999999999</v>
      </c>
      <c r="G36">
        <f>((D35-F35)/E35)</f>
        <v>127.61061946902655</v>
      </c>
      <c r="H36">
        <f t="shared" si="2"/>
        <v>127.61061946902655</v>
      </c>
    </row>
    <row r="38" spans="1:11" x14ac:dyDescent="0.25">
      <c r="A38" s="2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B39">
        <v>100</v>
      </c>
      <c r="C39" t="s">
        <v>0</v>
      </c>
      <c r="D39">
        <v>4.6509999999999998</v>
      </c>
      <c r="E39">
        <v>1.1299999999999999E-2</v>
      </c>
      <c r="F39">
        <v>0.20399999999999999</v>
      </c>
      <c r="G39">
        <f t="shared" ref="G39:G41" si="3">((D39-F39)/E39)</f>
        <v>393.53982300884957</v>
      </c>
      <c r="H39">
        <f t="shared" ref="H39:H41" si="4">(G39*10)/10</f>
        <v>393.53982300884957</v>
      </c>
    </row>
    <row r="40" spans="1:11" x14ac:dyDescent="0.25">
      <c r="B40">
        <v>100</v>
      </c>
      <c r="C40" t="s">
        <v>1</v>
      </c>
      <c r="D40">
        <v>4.6500000000000004</v>
      </c>
      <c r="E40">
        <v>1.1299999999999999E-2</v>
      </c>
      <c r="F40">
        <v>0.20399999999999999</v>
      </c>
      <c r="G40">
        <f t="shared" si="3"/>
        <v>393.45132743362842</v>
      </c>
      <c r="H40">
        <f t="shared" si="4"/>
        <v>393.45132743362842</v>
      </c>
      <c r="I40">
        <f>AVERAGE(H39:H41)</f>
        <v>393.53982300884962</v>
      </c>
      <c r="J40">
        <f>STDEV(H39:H41)</f>
        <v>8.8495575221230638E-2</v>
      </c>
    </row>
    <row r="41" spans="1:11" x14ac:dyDescent="0.25">
      <c r="B41">
        <v>100</v>
      </c>
      <c r="C41" t="s">
        <v>2</v>
      </c>
      <c r="D41">
        <v>4.6520000000000001</v>
      </c>
      <c r="E41">
        <v>1.1299999999999999E-2</v>
      </c>
      <c r="F41">
        <v>0.20399999999999999</v>
      </c>
      <c r="G41">
        <f t="shared" si="3"/>
        <v>393.62831858407088</v>
      </c>
      <c r="H41">
        <f t="shared" si="4"/>
        <v>393.62831858407088</v>
      </c>
    </row>
    <row r="43" spans="1:11" x14ac:dyDescent="0.25">
      <c r="A43" s="2" t="s">
        <v>30</v>
      </c>
    </row>
    <row r="44" spans="1:11" x14ac:dyDescent="0.25">
      <c r="B44">
        <v>100</v>
      </c>
      <c r="C44" t="s">
        <v>0</v>
      </c>
      <c r="D44" s="4">
        <v>3.6469999999999998</v>
      </c>
      <c r="E44">
        <v>1.1299999999999999E-2</v>
      </c>
      <c r="F44">
        <v>0.20399999999999999</v>
      </c>
      <c r="G44">
        <f t="shared" ref="G44:G46" si="5">((D44-F44)/E44)</f>
        <v>304.69026548672565</v>
      </c>
      <c r="H44">
        <f t="shared" ref="H44:H46" si="6">(G44*10)/10</f>
        <v>304.69026548672565</v>
      </c>
    </row>
    <row r="45" spans="1:11" x14ac:dyDescent="0.25">
      <c r="B45">
        <v>100</v>
      </c>
      <c r="C45" t="s">
        <v>1</v>
      </c>
      <c r="D45" s="4">
        <v>3.6739999999999999</v>
      </c>
      <c r="E45">
        <v>1.1299999999999999E-2</v>
      </c>
      <c r="F45">
        <v>0.20399999999999999</v>
      </c>
      <c r="G45">
        <f t="shared" si="5"/>
        <v>307.07964601769913</v>
      </c>
      <c r="H45">
        <f t="shared" si="6"/>
        <v>307.07964601769913</v>
      </c>
      <c r="I45">
        <f>AVERAGE(H44:H46)</f>
        <v>303.7758112094395</v>
      </c>
      <c r="J45">
        <f>STDEV(H44:H46)</f>
        <v>3.8435344329632799</v>
      </c>
    </row>
    <row r="46" spans="1:11" x14ac:dyDescent="0.25">
      <c r="B46">
        <v>100</v>
      </c>
      <c r="C46" t="s">
        <v>2</v>
      </c>
      <c r="D46" s="4">
        <v>3.589</v>
      </c>
      <c r="E46">
        <v>1.1299999999999999E-2</v>
      </c>
      <c r="F46">
        <v>0.20399999999999999</v>
      </c>
      <c r="G46">
        <f t="shared" si="5"/>
        <v>299.55752212389382</v>
      </c>
      <c r="H46">
        <f t="shared" si="6"/>
        <v>299.55752212389382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J9" sqref="J9"/>
    </sheetView>
  </sheetViews>
  <sheetFormatPr defaultRowHeight="15" x14ac:dyDescent="0.25"/>
  <sheetData>
    <row r="1" spans="2:8" x14ac:dyDescent="0.25">
      <c r="B1" s="2" t="s">
        <v>45</v>
      </c>
    </row>
    <row r="2" spans="2:8" x14ac:dyDescent="0.25">
      <c r="B2" s="1" t="s">
        <v>41</v>
      </c>
      <c r="C2" s="2" t="s">
        <v>23</v>
      </c>
      <c r="D2" s="1" t="s">
        <v>44</v>
      </c>
      <c r="E2" s="1" t="s">
        <v>42</v>
      </c>
      <c r="F2" s="4"/>
    </row>
    <row r="3" spans="2:8" x14ac:dyDescent="0.25">
      <c r="B3">
        <v>10</v>
      </c>
      <c r="C3" t="s">
        <v>0</v>
      </c>
      <c r="D3">
        <v>0.219</v>
      </c>
      <c r="F3" s="4"/>
    </row>
    <row r="4" spans="2:8" x14ac:dyDescent="0.25">
      <c r="B4">
        <v>10</v>
      </c>
      <c r="C4" t="s">
        <v>1</v>
      </c>
      <c r="D4">
        <v>0.22700000000000001</v>
      </c>
      <c r="E4">
        <v>0.21933333333333335</v>
      </c>
      <c r="F4" s="4"/>
    </row>
    <row r="5" spans="2:8" x14ac:dyDescent="0.25">
      <c r="B5">
        <v>10</v>
      </c>
      <c r="C5" t="s">
        <v>2</v>
      </c>
      <c r="D5">
        <v>0.21199999999999999</v>
      </c>
    </row>
    <row r="6" spans="2:8" x14ac:dyDescent="0.25">
      <c r="B6">
        <v>20</v>
      </c>
      <c r="C6" t="s">
        <v>0</v>
      </c>
      <c r="D6">
        <v>0.312</v>
      </c>
      <c r="G6" s="1" t="s">
        <v>41</v>
      </c>
      <c r="H6" s="1" t="s">
        <v>43</v>
      </c>
    </row>
    <row r="7" spans="2:8" x14ac:dyDescent="0.25">
      <c r="B7">
        <v>20</v>
      </c>
      <c r="C7" t="s">
        <v>1</v>
      </c>
      <c r="D7">
        <v>0.32300000000000001</v>
      </c>
      <c r="E7">
        <v>0.3213333333333333</v>
      </c>
      <c r="G7">
        <v>10</v>
      </c>
      <c r="H7">
        <v>0.219</v>
      </c>
    </row>
    <row r="8" spans="2:8" x14ac:dyDescent="0.25">
      <c r="B8">
        <v>20</v>
      </c>
      <c r="C8" t="s">
        <v>2</v>
      </c>
      <c r="D8">
        <v>0.32900000000000001</v>
      </c>
      <c r="G8">
        <v>20</v>
      </c>
      <c r="H8">
        <v>0.32100000000000001</v>
      </c>
    </row>
    <row r="9" spans="2:8" x14ac:dyDescent="0.25">
      <c r="B9">
        <v>30</v>
      </c>
      <c r="C9" t="s">
        <v>0</v>
      </c>
      <c r="D9">
        <v>0.48799999999999999</v>
      </c>
      <c r="G9">
        <v>30</v>
      </c>
      <c r="H9">
        <v>0.48299999999999998</v>
      </c>
    </row>
    <row r="10" spans="2:8" x14ac:dyDescent="0.25">
      <c r="B10">
        <v>30</v>
      </c>
      <c r="C10" t="s">
        <v>1</v>
      </c>
      <c r="D10">
        <v>0.48</v>
      </c>
      <c r="E10">
        <v>0.48333333333333334</v>
      </c>
      <c r="G10">
        <v>40</v>
      </c>
      <c r="H10">
        <v>0.55700000000000005</v>
      </c>
    </row>
    <row r="11" spans="2:8" x14ac:dyDescent="0.25">
      <c r="B11">
        <v>30</v>
      </c>
      <c r="C11" t="s">
        <v>2</v>
      </c>
      <c r="D11">
        <v>0.48199999999999998</v>
      </c>
      <c r="G11">
        <v>50</v>
      </c>
      <c r="H11">
        <v>0.68700000000000006</v>
      </c>
    </row>
    <row r="12" spans="2:8" x14ac:dyDescent="0.25">
      <c r="B12">
        <v>40</v>
      </c>
      <c r="C12" t="s">
        <v>0</v>
      </c>
      <c r="D12">
        <v>0.54800000000000004</v>
      </c>
    </row>
    <row r="13" spans="2:8" x14ac:dyDescent="0.25">
      <c r="B13">
        <v>40</v>
      </c>
      <c r="C13" t="s">
        <v>1</v>
      </c>
      <c r="D13">
        <v>0.55600000000000005</v>
      </c>
      <c r="E13">
        <v>0.55700000000000005</v>
      </c>
    </row>
    <row r="14" spans="2:8" x14ac:dyDescent="0.25">
      <c r="B14">
        <v>40</v>
      </c>
      <c r="C14" t="s">
        <v>2</v>
      </c>
      <c r="D14">
        <v>0.56699999999999995</v>
      </c>
    </row>
    <row r="15" spans="2:8" x14ac:dyDescent="0.25">
      <c r="B15">
        <v>50</v>
      </c>
      <c r="C15" t="s">
        <v>0</v>
      </c>
      <c r="D15">
        <v>0.68799999999999994</v>
      </c>
    </row>
    <row r="16" spans="2:8" x14ac:dyDescent="0.25">
      <c r="B16">
        <v>50</v>
      </c>
      <c r="C16" t="s">
        <v>1</v>
      </c>
      <c r="D16">
        <v>0.68200000000000005</v>
      </c>
      <c r="E16">
        <v>0.68733333333333346</v>
      </c>
    </row>
    <row r="17" spans="1:10" x14ac:dyDescent="0.25">
      <c r="B17">
        <v>50</v>
      </c>
      <c r="C17" t="s">
        <v>2</v>
      </c>
      <c r="D17">
        <v>0.69199999999999995</v>
      </c>
    </row>
    <row r="24" spans="1:10" x14ac:dyDescent="0.25">
      <c r="A24" s="2" t="s">
        <v>57</v>
      </c>
      <c r="B24" s="2" t="s">
        <v>33</v>
      </c>
      <c r="C24" s="2" t="s">
        <v>23</v>
      </c>
      <c r="D24" s="2" t="s">
        <v>34</v>
      </c>
      <c r="E24" s="2" t="s">
        <v>36</v>
      </c>
      <c r="F24" s="2" t="s">
        <v>37</v>
      </c>
      <c r="G24" s="2" t="s">
        <v>46</v>
      </c>
      <c r="H24" s="2" t="s">
        <v>47</v>
      </c>
      <c r="I24" s="2" t="s">
        <v>26</v>
      </c>
      <c r="J24" s="2" t="s">
        <v>3</v>
      </c>
    </row>
    <row r="25" spans="1:10" x14ac:dyDescent="0.25">
      <c r="A25" s="2" t="s">
        <v>25</v>
      </c>
      <c r="B25">
        <v>100</v>
      </c>
      <c r="C25" t="s">
        <v>0</v>
      </c>
      <c r="D25" s="4">
        <v>7.4820000000000002</v>
      </c>
      <c r="E25">
        <v>1.17E-2</v>
      </c>
      <c r="F25">
        <v>0.1018</v>
      </c>
      <c r="G25">
        <f t="shared" ref="G25:G26" si="0">((D25-F25)/E25)</f>
        <v>630.78632478632483</v>
      </c>
      <c r="H25">
        <f t="shared" ref="H25:H26" si="1">(G25*10)/10</f>
        <v>630.78632478632483</v>
      </c>
    </row>
    <row r="26" spans="1:10" x14ac:dyDescent="0.25">
      <c r="B26">
        <v>100</v>
      </c>
      <c r="C26" t="s">
        <v>1</v>
      </c>
      <c r="D26" s="4">
        <v>7.4870000000000001</v>
      </c>
      <c r="E26">
        <v>1.17E-2</v>
      </c>
      <c r="F26">
        <v>0.1018</v>
      </c>
      <c r="G26">
        <f t="shared" si="0"/>
        <v>631.21367521367517</v>
      </c>
      <c r="H26">
        <f t="shared" si="1"/>
        <v>631.21367521367517</v>
      </c>
      <c r="I26">
        <f>AVERAGE(H25:H27)</f>
        <v>631.38461538461536</v>
      </c>
      <c r="J26">
        <f>STDEV(H25:H27)</f>
        <v>0.69960280101474637</v>
      </c>
    </row>
    <row r="27" spans="1:10" x14ac:dyDescent="0.25">
      <c r="B27">
        <v>100</v>
      </c>
      <c r="C27" t="s">
        <v>2</v>
      </c>
      <c r="D27" s="4">
        <v>7.4980000000000002</v>
      </c>
      <c r="E27">
        <v>1.17E-2</v>
      </c>
      <c r="F27">
        <v>0.1018</v>
      </c>
      <c r="G27">
        <f>((D27-F27)/E27)</f>
        <v>632.15384615384619</v>
      </c>
      <c r="H27">
        <f>(G27*10)/10</f>
        <v>632.15384615384619</v>
      </c>
    </row>
    <row r="29" spans="1:10" x14ac:dyDescent="0.25">
      <c r="A29" s="2" t="s">
        <v>27</v>
      </c>
    </row>
    <row r="30" spans="1:10" x14ac:dyDescent="0.25">
      <c r="B30">
        <v>100</v>
      </c>
      <c r="C30" t="s">
        <v>0</v>
      </c>
      <c r="D30" s="4">
        <v>0.72799999999999998</v>
      </c>
      <c r="E30">
        <v>1.17E-2</v>
      </c>
      <c r="F30">
        <v>0.1018</v>
      </c>
      <c r="G30">
        <f t="shared" ref="G30:G31" si="2">((D30-F30)/E30)</f>
        <v>53.521367521367516</v>
      </c>
      <c r="H30">
        <f t="shared" ref="H30:H31" si="3">(G30*10)/10</f>
        <v>53.521367521367516</v>
      </c>
    </row>
    <row r="31" spans="1:10" x14ac:dyDescent="0.25">
      <c r="B31">
        <v>100</v>
      </c>
      <c r="C31" t="s">
        <v>1</v>
      </c>
      <c r="D31" s="4">
        <v>0.748</v>
      </c>
      <c r="E31">
        <v>1.17E-2</v>
      </c>
      <c r="F31">
        <v>0.1018</v>
      </c>
      <c r="G31">
        <f t="shared" si="2"/>
        <v>55.230769230769226</v>
      </c>
      <c r="H31">
        <f t="shared" si="3"/>
        <v>55.230769230769226</v>
      </c>
      <c r="I31">
        <f>AVERAGE(H30:H32)</f>
        <v>54.945868945868938</v>
      </c>
      <c r="J31">
        <f>STDEV(H30:H32)</f>
        <v>1.3055771210700391</v>
      </c>
    </row>
    <row r="32" spans="1:10" x14ac:dyDescent="0.25">
      <c r="B32">
        <v>100</v>
      </c>
      <c r="C32" t="s">
        <v>2</v>
      </c>
      <c r="D32" s="4">
        <v>0.75800000000000001</v>
      </c>
      <c r="E32">
        <v>1.17E-2</v>
      </c>
      <c r="F32">
        <v>0.1018</v>
      </c>
      <c r="G32">
        <f>((D32-F32)/E32)</f>
        <v>56.085470085470085</v>
      </c>
      <c r="H32">
        <f>(G32*10)/10</f>
        <v>56.085470085470078</v>
      </c>
    </row>
    <row r="34" spans="1:10" x14ac:dyDescent="0.25">
      <c r="A34" s="2" t="s">
        <v>28</v>
      </c>
    </row>
    <row r="35" spans="1:10" x14ac:dyDescent="0.25">
      <c r="B35">
        <v>100</v>
      </c>
      <c r="C35" t="s">
        <v>0</v>
      </c>
      <c r="D35" s="4">
        <v>0.65700000000000003</v>
      </c>
      <c r="E35">
        <v>1.17E-2</v>
      </c>
      <c r="F35">
        <v>0.1018</v>
      </c>
      <c r="G35">
        <f t="shared" ref="G35:G36" si="4">((D35-F35)/E35)</f>
        <v>47.452991452991455</v>
      </c>
      <c r="H35">
        <f t="shared" ref="H35:H36" si="5">(G35*10)/10</f>
        <v>47.452991452991455</v>
      </c>
    </row>
    <row r="36" spans="1:10" x14ac:dyDescent="0.25">
      <c r="B36">
        <v>100</v>
      </c>
      <c r="C36" t="s">
        <v>1</v>
      </c>
      <c r="D36" s="4">
        <v>0.68300000000000005</v>
      </c>
      <c r="E36">
        <v>1.17E-2</v>
      </c>
      <c r="F36">
        <v>0.1018</v>
      </c>
      <c r="G36">
        <f t="shared" si="4"/>
        <v>49.675213675213676</v>
      </c>
      <c r="H36">
        <f t="shared" si="5"/>
        <v>49.675213675213676</v>
      </c>
      <c r="I36">
        <f>AVERAGE(H35:H37)</f>
        <v>47.93732193732194</v>
      </c>
      <c r="J36">
        <f>STDEV(H35:H37)</f>
        <v>1.5534251715345411</v>
      </c>
    </row>
    <row r="37" spans="1:10" x14ac:dyDescent="0.25">
      <c r="B37">
        <v>100</v>
      </c>
      <c r="C37" t="s">
        <v>2</v>
      </c>
      <c r="D37" s="4">
        <v>0.64800000000000002</v>
      </c>
      <c r="E37">
        <v>1.17E-2</v>
      </c>
      <c r="F37">
        <v>0.1018</v>
      </c>
      <c r="G37">
        <f>((D37-F37)/E37)</f>
        <v>46.683760683760681</v>
      </c>
      <c r="H37">
        <f>(G37*10)/10</f>
        <v>46.683760683760681</v>
      </c>
    </row>
    <row r="38" spans="1:10" x14ac:dyDescent="0.25">
      <c r="D38" s="4"/>
    </row>
    <row r="39" spans="1:10" x14ac:dyDescent="0.25">
      <c r="A39" s="2" t="s">
        <v>29</v>
      </c>
    </row>
    <row r="40" spans="1:10" x14ac:dyDescent="0.25">
      <c r="B40">
        <v>100</v>
      </c>
      <c r="C40" t="s">
        <v>0</v>
      </c>
      <c r="D40" s="4">
        <v>4.8419999999999996</v>
      </c>
      <c r="E40">
        <v>1.17E-2</v>
      </c>
      <c r="F40">
        <v>0.1018</v>
      </c>
      <c r="G40">
        <f t="shared" ref="G40:G42" si="6">((D40-F40)/E40)</f>
        <v>405.14529914529913</v>
      </c>
      <c r="H40">
        <f t="shared" ref="H40:H42" si="7">(G40*10)/10</f>
        <v>405.14529914529913</v>
      </c>
    </row>
    <row r="41" spans="1:10" x14ac:dyDescent="0.25">
      <c r="B41">
        <v>100</v>
      </c>
      <c r="C41" t="s">
        <v>1</v>
      </c>
      <c r="D41" s="4">
        <v>4.843</v>
      </c>
      <c r="E41">
        <v>1.17E-2</v>
      </c>
      <c r="F41">
        <v>0.1018</v>
      </c>
      <c r="G41">
        <f t="shared" si="6"/>
        <v>405.23076923076923</v>
      </c>
      <c r="H41">
        <f t="shared" si="7"/>
        <v>405.23076923076923</v>
      </c>
      <c r="I41">
        <f>AVERAGE(H40:H42)</f>
        <v>405.17378917378915</v>
      </c>
      <c r="J41">
        <f>STDEV(H40:H42)</f>
        <v>4.9346176853818098E-2</v>
      </c>
    </row>
    <row r="42" spans="1:10" x14ac:dyDescent="0.25">
      <c r="B42">
        <v>100</v>
      </c>
      <c r="C42" t="s">
        <v>2</v>
      </c>
      <c r="D42" s="4">
        <v>4.8419999999999996</v>
      </c>
      <c r="E42">
        <v>1.17E-2</v>
      </c>
      <c r="F42">
        <v>0.1018</v>
      </c>
      <c r="G42">
        <f t="shared" si="6"/>
        <v>405.14529914529913</v>
      </c>
      <c r="H42">
        <f t="shared" si="7"/>
        <v>405.14529914529913</v>
      </c>
    </row>
    <row r="43" spans="1:10" x14ac:dyDescent="0.25">
      <c r="D43" s="4"/>
    </row>
    <row r="44" spans="1:10" x14ac:dyDescent="0.25">
      <c r="A44" s="2" t="s">
        <v>30</v>
      </c>
    </row>
    <row r="45" spans="1:10" x14ac:dyDescent="0.25">
      <c r="B45">
        <v>100</v>
      </c>
      <c r="C45" t="s">
        <v>0</v>
      </c>
      <c r="D45" s="4">
        <v>5.8719999999999999</v>
      </c>
      <c r="E45">
        <v>1.17E-2</v>
      </c>
      <c r="F45">
        <v>0.1018</v>
      </c>
      <c r="G45">
        <f t="shared" ref="G45:G47" si="8">((D45-F45)/E45)</f>
        <v>493.17948717948718</v>
      </c>
      <c r="H45">
        <f t="shared" ref="H45:H47" si="9">(G45*10)/10</f>
        <v>493.17948717948718</v>
      </c>
    </row>
    <row r="46" spans="1:10" x14ac:dyDescent="0.25">
      <c r="B46">
        <v>100</v>
      </c>
      <c r="C46" t="s">
        <v>1</v>
      </c>
      <c r="D46" s="4">
        <v>5.8920000000000003</v>
      </c>
      <c r="E46">
        <v>1.17E-2</v>
      </c>
      <c r="F46">
        <v>0.1018</v>
      </c>
      <c r="G46">
        <f t="shared" si="8"/>
        <v>494.88888888888891</v>
      </c>
      <c r="H46">
        <f t="shared" si="9"/>
        <v>494.88888888888886</v>
      </c>
      <c r="I46">
        <f>AVERAGE(H45:H47)</f>
        <v>493.77777777777777</v>
      </c>
      <c r="J46">
        <f>STDEV(H45:H47)</f>
        <v>0.96319894611833912</v>
      </c>
    </row>
    <row r="47" spans="1:10" x14ac:dyDescent="0.25">
      <c r="B47">
        <v>100</v>
      </c>
      <c r="C47" t="s">
        <v>2</v>
      </c>
      <c r="D47" s="4">
        <v>5.8730000000000002</v>
      </c>
      <c r="E47">
        <v>1.17E-2</v>
      </c>
      <c r="F47">
        <v>0.1018</v>
      </c>
      <c r="G47">
        <f t="shared" si="8"/>
        <v>493.26495726495727</v>
      </c>
      <c r="H47">
        <f t="shared" si="9"/>
        <v>493.26495726495722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K5" sqref="K5"/>
    </sheetView>
  </sheetViews>
  <sheetFormatPr defaultRowHeight="15" x14ac:dyDescent="0.25"/>
  <sheetData>
    <row r="1" spans="1:14" x14ac:dyDescent="0.25">
      <c r="A1" s="10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38.25" x14ac:dyDescent="0.25">
      <c r="A2" s="6" t="s">
        <v>57</v>
      </c>
      <c r="B2" s="6"/>
      <c r="C2" s="7" t="s">
        <v>58</v>
      </c>
      <c r="D2" s="7" t="s">
        <v>59</v>
      </c>
      <c r="E2" s="7" t="s">
        <v>60</v>
      </c>
      <c r="F2" s="7" t="s">
        <v>61</v>
      </c>
      <c r="G2" s="7" t="s">
        <v>62</v>
      </c>
      <c r="H2" s="7" t="s">
        <v>63</v>
      </c>
      <c r="I2" s="7" t="s">
        <v>64</v>
      </c>
      <c r="J2" s="7" t="s">
        <v>65</v>
      </c>
      <c r="K2" s="7" t="s">
        <v>66</v>
      </c>
      <c r="L2" s="7" t="s">
        <v>67</v>
      </c>
    </row>
    <row r="3" spans="1:14" ht="25.5" x14ac:dyDescent="0.25">
      <c r="A3" s="8" t="s">
        <v>68</v>
      </c>
      <c r="B3" s="6" t="s">
        <v>0</v>
      </c>
      <c r="C3" s="8" t="s">
        <v>69</v>
      </c>
      <c r="D3" s="8" t="s">
        <v>69</v>
      </c>
      <c r="E3" s="8" t="s">
        <v>69</v>
      </c>
      <c r="F3" s="8">
        <v>31.25</v>
      </c>
      <c r="G3" s="8" t="s">
        <v>69</v>
      </c>
      <c r="H3" s="8" t="s">
        <v>69</v>
      </c>
      <c r="I3" s="8" t="s">
        <v>69</v>
      </c>
      <c r="J3" s="8" t="s">
        <v>69</v>
      </c>
      <c r="K3" s="8" t="s">
        <v>69</v>
      </c>
      <c r="L3" s="8" t="s">
        <v>69</v>
      </c>
    </row>
    <row r="4" spans="1:14" ht="25.5" x14ac:dyDescent="0.25">
      <c r="A4" s="8" t="s">
        <v>68</v>
      </c>
      <c r="B4" s="6" t="s">
        <v>1</v>
      </c>
      <c r="C4" s="8" t="s">
        <v>69</v>
      </c>
      <c r="D4" s="8" t="s">
        <v>69</v>
      </c>
      <c r="E4" s="8" t="s">
        <v>69</v>
      </c>
      <c r="F4" s="8">
        <v>32.25</v>
      </c>
      <c r="G4" s="8" t="s">
        <v>69</v>
      </c>
      <c r="H4" s="8" t="s">
        <v>69</v>
      </c>
      <c r="I4" s="8" t="s">
        <v>69</v>
      </c>
      <c r="J4" s="8" t="s">
        <v>69</v>
      </c>
      <c r="K4" s="8" t="s">
        <v>69</v>
      </c>
      <c r="L4" s="8" t="s">
        <v>69</v>
      </c>
    </row>
    <row r="5" spans="1:14" ht="25.5" x14ac:dyDescent="0.25">
      <c r="A5" s="8" t="s">
        <v>68</v>
      </c>
      <c r="B5" s="6" t="s">
        <v>2</v>
      </c>
      <c r="C5" s="8" t="s">
        <v>69</v>
      </c>
      <c r="D5" s="8" t="s">
        <v>69</v>
      </c>
      <c r="E5" s="8" t="s">
        <v>69</v>
      </c>
      <c r="F5" s="8">
        <v>33.25</v>
      </c>
      <c r="G5" s="8" t="s">
        <v>69</v>
      </c>
      <c r="H5" s="8" t="s">
        <v>69</v>
      </c>
      <c r="I5" s="8" t="s">
        <v>69</v>
      </c>
      <c r="J5" s="8" t="s">
        <v>69</v>
      </c>
      <c r="K5" s="8" t="s">
        <v>69</v>
      </c>
      <c r="L5" s="8" t="s">
        <v>69</v>
      </c>
    </row>
    <row r="6" spans="1:14" ht="25.5" x14ac:dyDescent="0.25">
      <c r="A6" s="8" t="s">
        <v>11</v>
      </c>
      <c r="B6" s="6" t="s">
        <v>0</v>
      </c>
      <c r="C6" s="8">
        <v>500</v>
      </c>
      <c r="D6" s="8" t="s">
        <v>69</v>
      </c>
      <c r="E6" s="8" t="s">
        <v>69</v>
      </c>
      <c r="F6" s="8">
        <v>125</v>
      </c>
      <c r="G6" s="8" t="s">
        <v>69</v>
      </c>
      <c r="H6" s="8" t="s">
        <v>69</v>
      </c>
      <c r="I6" s="8">
        <v>500</v>
      </c>
      <c r="J6" s="8">
        <v>125</v>
      </c>
      <c r="K6" s="8">
        <v>250</v>
      </c>
      <c r="L6" s="8" t="s">
        <v>69</v>
      </c>
    </row>
    <row r="7" spans="1:14" ht="25.5" x14ac:dyDescent="0.25">
      <c r="A7" s="8" t="s">
        <v>11</v>
      </c>
      <c r="B7" s="6" t="s">
        <v>1</v>
      </c>
      <c r="C7" s="8">
        <v>501</v>
      </c>
      <c r="D7" s="8" t="s">
        <v>69</v>
      </c>
      <c r="E7" s="8" t="s">
        <v>69</v>
      </c>
      <c r="F7" s="8">
        <v>126</v>
      </c>
      <c r="G7" s="8" t="s">
        <v>69</v>
      </c>
      <c r="H7" s="8" t="s">
        <v>69</v>
      </c>
      <c r="I7" s="8">
        <v>500</v>
      </c>
      <c r="J7" s="8">
        <v>125</v>
      </c>
      <c r="K7" s="8">
        <v>250</v>
      </c>
      <c r="L7" s="8" t="s">
        <v>70</v>
      </c>
    </row>
    <row r="8" spans="1:14" ht="25.5" x14ac:dyDescent="0.25">
      <c r="A8" s="8" t="s">
        <v>11</v>
      </c>
      <c r="B8" s="6" t="s">
        <v>2</v>
      </c>
      <c r="C8" s="8">
        <v>502</v>
      </c>
      <c r="D8" s="8" t="s">
        <v>69</v>
      </c>
      <c r="E8" s="8" t="s">
        <v>69</v>
      </c>
      <c r="F8" s="8">
        <v>127</v>
      </c>
      <c r="G8" s="8" t="s">
        <v>69</v>
      </c>
      <c r="H8" s="8" t="s">
        <v>69</v>
      </c>
      <c r="I8" s="8">
        <v>500</v>
      </c>
      <c r="J8" s="8">
        <v>125</v>
      </c>
      <c r="K8" s="8">
        <v>250</v>
      </c>
      <c r="L8" s="8" t="s">
        <v>71</v>
      </c>
    </row>
    <row r="9" spans="1:14" ht="25.5" x14ac:dyDescent="0.25">
      <c r="A9" s="8" t="s">
        <v>12</v>
      </c>
      <c r="B9" s="6" t="s">
        <v>0</v>
      </c>
      <c r="C9" s="8">
        <v>250</v>
      </c>
      <c r="D9" s="8" t="s">
        <v>69</v>
      </c>
      <c r="E9" s="8" t="s">
        <v>69</v>
      </c>
      <c r="F9" s="8">
        <v>125</v>
      </c>
      <c r="G9" s="8">
        <v>250</v>
      </c>
      <c r="H9" s="8">
        <v>15.625</v>
      </c>
      <c r="I9" s="8">
        <v>250</v>
      </c>
      <c r="J9" s="8">
        <v>500</v>
      </c>
      <c r="K9" s="8">
        <v>125</v>
      </c>
      <c r="L9" s="8">
        <v>125</v>
      </c>
    </row>
    <row r="10" spans="1:14" ht="25.5" x14ac:dyDescent="0.25">
      <c r="A10" s="8" t="s">
        <v>12</v>
      </c>
      <c r="B10" s="6" t="s">
        <v>1</v>
      </c>
      <c r="C10" s="8">
        <v>251</v>
      </c>
      <c r="D10" s="8" t="s">
        <v>69</v>
      </c>
      <c r="E10" s="8" t="s">
        <v>69</v>
      </c>
      <c r="F10" s="8">
        <v>125</v>
      </c>
      <c r="G10" s="8">
        <v>250</v>
      </c>
      <c r="H10" s="8">
        <v>15.625</v>
      </c>
      <c r="I10" s="8">
        <v>250</v>
      </c>
      <c r="J10" s="8">
        <v>500</v>
      </c>
      <c r="K10" s="8">
        <v>125</v>
      </c>
      <c r="L10" s="8">
        <v>125</v>
      </c>
    </row>
    <row r="11" spans="1:14" ht="25.5" x14ac:dyDescent="0.25">
      <c r="A11" s="8" t="s">
        <v>12</v>
      </c>
      <c r="B11" s="6" t="s">
        <v>2</v>
      </c>
      <c r="C11" s="8">
        <v>252</v>
      </c>
      <c r="D11" s="8" t="s">
        <v>69</v>
      </c>
      <c r="E11" s="8" t="s">
        <v>69</v>
      </c>
      <c r="F11" s="8">
        <v>125</v>
      </c>
      <c r="G11" s="8">
        <v>250</v>
      </c>
      <c r="H11" s="8">
        <v>15.625</v>
      </c>
      <c r="I11" s="8">
        <v>250</v>
      </c>
      <c r="J11" s="8">
        <v>500</v>
      </c>
      <c r="K11" s="8">
        <v>125</v>
      </c>
      <c r="L11" s="8">
        <v>125</v>
      </c>
    </row>
    <row r="12" spans="1:14" x14ac:dyDescent="0.25">
      <c r="A12" s="8" t="s">
        <v>14</v>
      </c>
      <c r="B12" s="6" t="s">
        <v>0</v>
      </c>
      <c r="C12" s="8">
        <v>250</v>
      </c>
      <c r="D12" s="8">
        <v>125</v>
      </c>
      <c r="E12" s="8">
        <v>62.5</v>
      </c>
      <c r="F12" s="8">
        <v>31.25</v>
      </c>
      <c r="G12" s="8">
        <v>125</v>
      </c>
      <c r="H12" s="8">
        <v>250</v>
      </c>
      <c r="I12" s="8">
        <v>62.5</v>
      </c>
      <c r="J12" s="8">
        <v>62.5</v>
      </c>
      <c r="K12" s="8">
        <v>62.5</v>
      </c>
      <c r="L12" s="8">
        <v>500</v>
      </c>
    </row>
    <row r="13" spans="1:14" x14ac:dyDescent="0.25">
      <c r="A13" s="8" t="s">
        <v>14</v>
      </c>
      <c r="B13" s="6" t="s">
        <v>1</v>
      </c>
      <c r="C13" s="8">
        <v>250</v>
      </c>
      <c r="D13" s="8">
        <v>125</v>
      </c>
      <c r="E13" s="8">
        <v>62.5</v>
      </c>
      <c r="F13" s="8">
        <v>31.25</v>
      </c>
      <c r="G13" s="8">
        <v>125</v>
      </c>
      <c r="H13" s="8">
        <v>250</v>
      </c>
      <c r="I13" s="8">
        <v>62.5</v>
      </c>
      <c r="J13" s="8">
        <v>62.5</v>
      </c>
      <c r="K13" s="8">
        <v>62.5</v>
      </c>
      <c r="L13" s="8">
        <v>500</v>
      </c>
    </row>
    <row r="14" spans="1:14" x14ac:dyDescent="0.25">
      <c r="A14" s="8" t="s">
        <v>14</v>
      </c>
      <c r="B14" s="6" t="s">
        <v>2</v>
      </c>
      <c r="C14" s="8">
        <v>250</v>
      </c>
      <c r="D14" s="8">
        <v>125</v>
      </c>
      <c r="E14" s="8">
        <v>62.5</v>
      </c>
      <c r="F14" s="8">
        <v>31.25</v>
      </c>
      <c r="G14" s="8">
        <v>125</v>
      </c>
      <c r="H14" s="8">
        <v>250</v>
      </c>
      <c r="I14" s="8">
        <v>62.5</v>
      </c>
      <c r="J14" s="8">
        <v>62.5</v>
      </c>
      <c r="K14" s="8">
        <v>62.5</v>
      </c>
      <c r="L14" s="8">
        <v>500</v>
      </c>
    </row>
    <row r="15" spans="1:14" x14ac:dyDescent="0.25">
      <c r="A15" s="8" t="s">
        <v>72</v>
      </c>
      <c r="B15" s="6" t="s">
        <v>0</v>
      </c>
      <c r="C15" s="8">
        <v>250</v>
      </c>
      <c r="D15" s="8">
        <v>125</v>
      </c>
      <c r="E15" s="8">
        <v>125</v>
      </c>
      <c r="F15" s="8">
        <v>62.5</v>
      </c>
      <c r="G15" s="8">
        <v>31.25</v>
      </c>
      <c r="H15" s="8">
        <v>31.25</v>
      </c>
      <c r="I15" s="8">
        <v>125</v>
      </c>
      <c r="J15" s="8">
        <v>125</v>
      </c>
      <c r="K15" s="8">
        <v>62.5</v>
      </c>
      <c r="L15" s="8">
        <v>62.5</v>
      </c>
    </row>
    <row r="16" spans="1:14" x14ac:dyDescent="0.25">
      <c r="A16" s="8" t="s">
        <v>72</v>
      </c>
      <c r="B16" s="6" t="s">
        <v>1</v>
      </c>
      <c r="C16" s="8">
        <v>250</v>
      </c>
      <c r="D16" s="8">
        <v>125</v>
      </c>
      <c r="E16" s="8">
        <v>125</v>
      </c>
      <c r="F16" s="8">
        <v>62.5</v>
      </c>
      <c r="G16" s="8">
        <v>31.25</v>
      </c>
      <c r="H16" s="8">
        <v>31.25</v>
      </c>
      <c r="I16" s="8">
        <v>125</v>
      </c>
      <c r="J16" s="8">
        <v>125</v>
      </c>
      <c r="K16" s="8">
        <v>62.5</v>
      </c>
      <c r="L16" s="8">
        <v>62.5</v>
      </c>
    </row>
    <row r="17" spans="1:14" x14ac:dyDescent="0.25">
      <c r="A17" s="8" t="s">
        <v>72</v>
      </c>
      <c r="B17" s="6" t="s">
        <v>2</v>
      </c>
      <c r="C17" s="8">
        <v>250</v>
      </c>
      <c r="D17" s="8">
        <v>125</v>
      </c>
      <c r="E17" s="8">
        <v>125</v>
      </c>
      <c r="F17" s="8">
        <v>62.5</v>
      </c>
      <c r="G17" s="8">
        <v>31.25</v>
      </c>
      <c r="H17" s="8">
        <v>31.25</v>
      </c>
      <c r="I17" s="8">
        <v>125</v>
      </c>
      <c r="J17" s="8">
        <v>125</v>
      </c>
      <c r="K17" s="8">
        <v>62.5</v>
      </c>
      <c r="L17" s="8">
        <v>62.5</v>
      </c>
    </row>
    <row r="18" spans="1:14" x14ac:dyDescent="0.25">
      <c r="A18" s="6" t="s">
        <v>73</v>
      </c>
      <c r="B18" s="6" t="s">
        <v>0</v>
      </c>
      <c r="C18" s="8">
        <v>0.93700000000000006</v>
      </c>
      <c r="D18" s="8">
        <v>3.75</v>
      </c>
      <c r="E18" s="8">
        <v>7.5</v>
      </c>
      <c r="F18" s="8">
        <v>1.875</v>
      </c>
      <c r="G18" s="8">
        <v>0.93700000000000006</v>
      </c>
      <c r="H18" s="8">
        <v>7.5</v>
      </c>
      <c r="I18" s="8">
        <v>15</v>
      </c>
      <c r="J18" s="8">
        <v>15</v>
      </c>
      <c r="K18" s="8">
        <v>1.875</v>
      </c>
      <c r="L18" s="8">
        <v>0.23400000000000001</v>
      </c>
    </row>
    <row r="19" spans="1:14" x14ac:dyDescent="0.25">
      <c r="A19" s="6" t="s">
        <v>73</v>
      </c>
      <c r="B19" s="6" t="s">
        <v>1</v>
      </c>
      <c r="C19" s="8">
        <v>0.93700000000000006</v>
      </c>
      <c r="D19" s="8">
        <v>3.75</v>
      </c>
      <c r="E19" s="8">
        <v>7.5</v>
      </c>
      <c r="F19" s="8">
        <v>1.875</v>
      </c>
      <c r="G19" s="8">
        <v>0.93700000000000006</v>
      </c>
      <c r="H19" s="8">
        <v>7.5</v>
      </c>
      <c r="I19" s="8">
        <v>15</v>
      </c>
      <c r="J19" s="8">
        <v>15</v>
      </c>
      <c r="K19" s="8">
        <v>1.875</v>
      </c>
      <c r="L19" s="8">
        <v>0.23400000000000001</v>
      </c>
      <c r="M19" s="9"/>
      <c r="N19" s="9"/>
    </row>
    <row r="20" spans="1:14" x14ac:dyDescent="0.25">
      <c r="A20" s="6" t="s">
        <v>73</v>
      </c>
      <c r="B20" s="6" t="s">
        <v>2</v>
      </c>
      <c r="C20" s="8">
        <v>0.93700000000000006</v>
      </c>
      <c r="D20" s="8">
        <v>3.75</v>
      </c>
      <c r="E20" s="8">
        <v>7.5</v>
      </c>
      <c r="F20" s="8">
        <v>1.875</v>
      </c>
      <c r="G20" s="8">
        <v>0.93700000000000006</v>
      </c>
      <c r="H20" s="8">
        <v>7.5</v>
      </c>
      <c r="I20" s="8">
        <v>15</v>
      </c>
      <c r="J20" s="8">
        <v>15</v>
      </c>
      <c r="K20" s="8">
        <v>1.875</v>
      </c>
      <c r="L20" s="8">
        <v>0.23400000000000001</v>
      </c>
    </row>
    <row r="21" spans="1:14" x14ac:dyDescent="0.25">
      <c r="A21" s="6" t="s">
        <v>74</v>
      </c>
      <c r="B21" s="6" t="s">
        <v>0</v>
      </c>
      <c r="C21" s="8" t="s">
        <v>75</v>
      </c>
      <c r="D21" s="8" t="s">
        <v>75</v>
      </c>
      <c r="E21" s="8" t="s">
        <v>75</v>
      </c>
      <c r="F21" s="8" t="s">
        <v>75</v>
      </c>
      <c r="G21" s="8" t="s">
        <v>75</v>
      </c>
      <c r="H21" s="8" t="s">
        <v>75</v>
      </c>
      <c r="I21" s="8" t="s">
        <v>75</v>
      </c>
      <c r="J21" s="8" t="s">
        <v>75</v>
      </c>
      <c r="K21" s="8" t="s">
        <v>75</v>
      </c>
      <c r="L21" s="8" t="s">
        <v>75</v>
      </c>
    </row>
    <row r="22" spans="1:14" x14ac:dyDescent="0.25">
      <c r="A22" s="6" t="s">
        <v>74</v>
      </c>
      <c r="B22" s="6" t="s">
        <v>1</v>
      </c>
      <c r="C22" s="8" t="s">
        <v>75</v>
      </c>
      <c r="D22" s="8" t="s">
        <v>75</v>
      </c>
      <c r="E22" s="8" t="s">
        <v>75</v>
      </c>
      <c r="F22" s="8" t="s">
        <v>75</v>
      </c>
      <c r="G22" s="8" t="s">
        <v>75</v>
      </c>
      <c r="H22" s="8" t="s">
        <v>75</v>
      </c>
      <c r="I22" s="8" t="s">
        <v>75</v>
      </c>
      <c r="J22" s="8" t="s">
        <v>75</v>
      </c>
      <c r="K22" s="8" t="s">
        <v>75</v>
      </c>
      <c r="L22" s="8" t="s">
        <v>75</v>
      </c>
    </row>
    <row r="23" spans="1:14" x14ac:dyDescent="0.25">
      <c r="A23" s="6" t="s">
        <v>74</v>
      </c>
      <c r="B23" s="6" t="s">
        <v>2</v>
      </c>
      <c r="C23" s="8" t="s">
        <v>75</v>
      </c>
      <c r="D23" s="8" t="s">
        <v>75</v>
      </c>
      <c r="E23" s="8" t="s">
        <v>75</v>
      </c>
      <c r="F23" s="8" t="s">
        <v>75</v>
      </c>
      <c r="G23" s="8" t="s">
        <v>75</v>
      </c>
      <c r="H23" s="8" t="s">
        <v>75</v>
      </c>
      <c r="I23" s="8" t="s">
        <v>75</v>
      </c>
      <c r="J23" s="8" t="s">
        <v>75</v>
      </c>
      <c r="K23" s="8" t="s">
        <v>75</v>
      </c>
      <c r="L23" s="8" t="s">
        <v>75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DPPH</vt:lpstr>
      <vt:lpstr>FRAP</vt:lpstr>
      <vt:lpstr>ABTS</vt:lpstr>
      <vt:lpstr>SO</vt:lpstr>
      <vt:lpstr>Hydroxyl</vt:lpstr>
      <vt:lpstr>Total phenolics</vt:lpstr>
      <vt:lpstr>Total flavonoids</vt:lpstr>
      <vt:lpstr>Antibacterial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 J</dc:creator>
  <cp:lastModifiedBy>a</cp:lastModifiedBy>
  <dcterms:created xsi:type="dcterms:W3CDTF">2017-11-18T02:35:53Z</dcterms:created>
  <dcterms:modified xsi:type="dcterms:W3CDTF">2021-08-27T15:07:01Z</dcterms:modified>
</cp:coreProperties>
</file>