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e\Desktop\DALYs\Submission\"/>
    </mc:Choice>
  </mc:AlternateContent>
  <xr:revisionPtr revIDLastSave="0" documentId="13_ncr:1_{0111E1DF-F343-46C7-925E-1C6786F7E82F}" xr6:coauthVersionLast="45" xr6:coauthVersionMax="45" xr10:uidLastSave="{00000000-0000-0000-0000-000000000000}"/>
  <bookViews>
    <workbookView xWindow="-110" yWindow="-110" windowWidth="19420" windowHeight="10420" xr2:uid="{2FE24C5F-4ABE-4D9F-B541-EC8E22C01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2" i="1" l="1"/>
  <c r="AF24" i="1" s="1"/>
  <c r="AG24" i="1" l="1"/>
  <c r="AF23" i="1"/>
  <c r="AI11" i="1"/>
  <c r="AK32" i="1" s="1"/>
  <c r="AJ11" i="1"/>
  <c r="AL32" i="1" s="1"/>
  <c r="AJ9" i="1"/>
  <c r="AI8" i="1"/>
  <c r="AH7" i="1"/>
  <c r="AH11" i="1" s="1"/>
  <c r="AJ32" i="1" s="1"/>
  <c r="AF6" i="1"/>
  <c r="W5" i="1"/>
  <c r="W4" i="1" l="1"/>
  <c r="AE6" i="1" l="1"/>
  <c r="AE5" i="1"/>
  <c r="Q6" i="1" l="1"/>
  <c r="AG6" i="1" s="1"/>
  <c r="AG11" i="1" s="1"/>
  <c r="AI32" i="1" s="1"/>
  <c r="P5" i="1"/>
  <c r="AB9" i="1"/>
  <c r="W7" i="1"/>
  <c r="W6" i="1"/>
  <c r="W8" i="1"/>
  <c r="W9" i="1"/>
  <c r="AF5" i="1" l="1"/>
  <c r="AF11" i="1" s="1"/>
  <c r="AH32" i="1" s="1"/>
  <c r="X5" i="1"/>
  <c r="AH34" i="1" l="1"/>
  <c r="AH35" i="1" s="1"/>
  <c r="AI34" i="1"/>
  <c r="AJ34" i="1"/>
  <c r="AK34" i="1"/>
  <c r="AL34" i="1"/>
  <c r="AE35" i="1" l="1"/>
  <c r="AI35" i="1"/>
  <c r="AJ35" i="1"/>
  <c r="AK35" i="1"/>
  <c r="AL35" i="1"/>
  <c r="AE7" i="1" l="1"/>
  <c r="AE8" i="1"/>
  <c r="AE9" i="1"/>
  <c r="AE4" i="1"/>
  <c r="AE11" i="1" s="1"/>
  <c r="AF32" i="1" s="1"/>
  <c r="AF34" i="1" l="1"/>
  <c r="AF35" i="1" s="1"/>
  <c r="AF37" i="1"/>
  <c r="AH33" i="1"/>
  <c r="AL33" i="1"/>
  <c r="AK33" i="1"/>
  <c r="AI33" i="1"/>
  <c r="AJ33" i="1"/>
  <c r="AF33" i="1"/>
  <c r="AB5" i="1"/>
  <c r="AB6" i="1"/>
  <c r="AB7" i="1"/>
  <c r="AB8" i="1"/>
  <c r="AH36" i="1" l="1"/>
  <c r="AK36" i="1"/>
  <c r="AI36" i="1"/>
  <c r="AL36" i="1"/>
  <c r="AJ36" i="1"/>
  <c r="AF25" i="1"/>
  <c r="AF39" i="1" s="1"/>
  <c r="X4" i="1"/>
  <c r="X6" i="1"/>
  <c r="X7" i="1"/>
  <c r="X8" i="1"/>
  <c r="X9" i="1"/>
  <c r="C7" i="1"/>
  <c r="C8" i="1" s="1"/>
  <c r="O20" i="1" s="1"/>
  <c r="X20" i="1" s="1"/>
  <c r="AG20" i="1" s="1"/>
  <c r="Y4" i="1"/>
  <c r="Z4" i="1"/>
  <c r="AA4" i="1"/>
  <c r="AB4" i="1"/>
  <c r="Y5" i="1"/>
  <c r="Z5" i="1"/>
  <c r="AA5" i="1"/>
  <c r="Y6" i="1"/>
  <c r="Z6" i="1"/>
  <c r="AA6" i="1"/>
  <c r="Y7" i="1"/>
  <c r="Z7" i="1"/>
  <c r="AA7" i="1"/>
  <c r="Y8" i="1"/>
  <c r="Z8" i="1"/>
  <c r="AA8" i="1"/>
  <c r="Y9" i="1"/>
  <c r="Z9" i="1"/>
  <c r="AA9" i="1"/>
  <c r="Y11" i="1" l="1"/>
  <c r="E7" i="1" s="1"/>
  <c r="X11" i="1"/>
  <c r="D7" i="1" s="1"/>
  <c r="AA11" i="1"/>
  <c r="G7" i="1" s="1"/>
  <c r="AB11" i="1"/>
  <c r="H7" i="1" s="1"/>
  <c r="H8" i="1" s="1"/>
  <c r="T20" i="1" s="1"/>
  <c r="Z11" i="1"/>
  <c r="W11" i="1"/>
  <c r="B7" i="1" s="1"/>
  <c r="B8" i="1" s="1"/>
  <c r="N20" i="1" s="1"/>
  <c r="W20" i="1" s="1"/>
  <c r="AF20" i="1" l="1"/>
  <c r="F7" i="1"/>
  <c r="F8" i="1" s="1"/>
  <c r="R20" i="1" s="1"/>
  <c r="AA20" i="1" s="1"/>
  <c r="AJ20" i="1" s="1"/>
  <c r="AJ22" i="1" s="1"/>
  <c r="AJ24" i="1" s="1"/>
  <c r="E8" i="1"/>
  <c r="Q20" i="1" s="1"/>
  <c r="Z20" i="1" s="1"/>
  <c r="AI20" i="1" s="1"/>
  <c r="AI22" i="1" s="1"/>
  <c r="G8" i="1"/>
  <c r="S20" i="1" s="1"/>
  <c r="AB20" i="1" s="1"/>
  <c r="AK20" i="1" s="1"/>
  <c r="AK22" i="1" s="1"/>
  <c r="AK24" i="1" s="1"/>
  <c r="AC20" i="1"/>
  <c r="AL20" i="1" s="1"/>
  <c r="AL22" i="1" s="1"/>
  <c r="AL24" i="1" s="1"/>
  <c r="AJ25" i="1" l="1"/>
  <c r="AJ39" i="1" s="1"/>
  <c r="AL25" i="1"/>
  <c r="AL39" i="1" s="1"/>
  <c r="AK25" i="1"/>
  <c r="AK39" i="1" s="1"/>
  <c r="AI23" i="1"/>
  <c r="AI24" i="1"/>
  <c r="D8" i="1"/>
  <c r="P20" i="1" s="1"/>
  <c r="Y20" i="1" s="1"/>
  <c r="AH20" i="1" s="1"/>
  <c r="AH22" i="1" s="1"/>
  <c r="AH24" i="1" s="1"/>
  <c r="AL23" i="1"/>
  <c r="AJ23" i="1"/>
  <c r="AK23" i="1"/>
  <c r="AI25" i="1" l="1"/>
  <c r="AI39" i="1" s="1"/>
  <c r="AH25" i="1"/>
  <c r="AH39" i="1" s="1"/>
  <c r="AH23" i="1"/>
  <c r="AI37" i="1" l="1"/>
  <c r="AK37" i="1"/>
  <c r="AL37" i="1"/>
  <c r="AJ37" i="1"/>
  <c r="AH37" i="1" l="1"/>
</calcChain>
</file>

<file path=xl/sharedStrings.xml><?xml version="1.0" encoding="utf-8"?>
<sst xmlns="http://schemas.openxmlformats.org/spreadsheetml/2006/main" count="105" uniqueCount="56">
  <si>
    <t>EAR</t>
  </si>
  <si>
    <t>SD consumption</t>
  </si>
  <si>
    <t>Diriba</t>
  </si>
  <si>
    <t>Apply nothing</t>
  </si>
  <si>
    <t>Apply mineral N</t>
  </si>
  <si>
    <t>Apply mineral N + organic</t>
  </si>
  <si>
    <t>Scenario 1</t>
  </si>
  <si>
    <t>90 kg N + 26 kg P + Zn</t>
  </si>
  <si>
    <t>Cattle manure + 26 kg P + 90 kg N + Zn</t>
  </si>
  <si>
    <t>Scenario 2</t>
  </si>
  <si>
    <t>Scenario 3</t>
  </si>
  <si>
    <t>Scenario 4</t>
  </si>
  <si>
    <t>% deficiency</t>
  </si>
  <si>
    <t xml:space="preserve">Mean consumption </t>
  </si>
  <si>
    <t>Zn mg/capita/day</t>
  </si>
  <si>
    <t>Baseline (GENuS)</t>
  </si>
  <si>
    <t>Baseline (Diriba)</t>
  </si>
  <si>
    <t>Leaf litter + 26 kg P + 90 kg N + Zn</t>
  </si>
  <si>
    <t>Scenario 5</t>
  </si>
  <si>
    <t>DALYs value (1*GDP)</t>
  </si>
  <si>
    <t>Yield (kg/ha)</t>
  </si>
  <si>
    <t>Zn from non maize (mg/capita/day)</t>
  </si>
  <si>
    <t>maize grain Zn (mg/kg)</t>
  </si>
  <si>
    <t>Zn consumption (mg/capita/day)</t>
  </si>
  <si>
    <t>Using GENuS maize consumption (grain plus corn flour = 278.3 g/capita/day))</t>
  </si>
  <si>
    <t>maize grain yield (kg/ha)</t>
  </si>
  <si>
    <t>Value of yield benefit</t>
  </si>
  <si>
    <t>% farmers practising</t>
  </si>
  <si>
    <t>Grain yield (t ha-1)</t>
  </si>
  <si>
    <t>(Scenario/baseline)*100</t>
  </si>
  <si>
    <t xml:space="preserve">Grain yield benefit quantification </t>
  </si>
  <si>
    <t>Value of maize ($ per ha)</t>
  </si>
  <si>
    <t>Area of maize (ha), FAOSTAT 2017</t>
  </si>
  <si>
    <t>Value of maize ($ per t)</t>
  </si>
  <si>
    <t xml:space="preserve">Scenario </t>
  </si>
  <si>
    <t>16.56=Zn in the system under current farmer management</t>
  </si>
  <si>
    <t>Zn from maize (mg/capita/day)using 13.5 (Scenario 1 and 2) and  16.56 mg/kg (Scenario 3-5) at baseline)</t>
  </si>
  <si>
    <t>1119.154 is the current maize grain yield under the current farming system</t>
  </si>
  <si>
    <t>Scale of benefit in yield vs scale of benefit in health</t>
  </si>
  <si>
    <t>Scenario 1 (Baseline)</t>
  </si>
  <si>
    <t>Scenario 6</t>
  </si>
  <si>
    <t>Baseline (Scenario 1)</t>
  </si>
  <si>
    <t>Grain Zn/Scenario</t>
  </si>
  <si>
    <t>Yield/Scenario</t>
  </si>
  <si>
    <t>GENuS/Baseline/Scenario 1</t>
  </si>
  <si>
    <t xml:space="preserve">***Just showing yield increase vs current practises. Not used anywhere in the calculations. </t>
  </si>
  <si>
    <t>DALYs per year</t>
  </si>
  <si>
    <t>DALYs saved per year</t>
  </si>
  <si>
    <t>DALYs burden value (1*GDP) (US$ per year)</t>
  </si>
  <si>
    <t>Health benefit (US$ per year)</t>
  </si>
  <si>
    <t>***Yield per year, % of baseline</t>
  </si>
  <si>
    <t>Value of national maize production ($ per year)</t>
  </si>
  <si>
    <t>Net benefit from yield changes and DALYs burden ($ per year)</t>
  </si>
  <si>
    <t>Zim GDP per capita (US$)- (2017)</t>
  </si>
  <si>
    <t>DALYs lost due to Zn deficiency (http://ghdx.healthdata.org/gbd-results-tool)-2017</t>
  </si>
  <si>
    <t>Yield benefit ($ per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</si>
</sst>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0" fillId="0" borderId="1" xfId="0" applyBorder="1"/>
    <xf numFmtId="1" fontId="0" fillId="0" borderId="1" xfId="0" applyNumberFormat="1" applyBorder="1"/>
    <xf numFmtId="0" fontId="3" fillId="0" borderId="0" xfId="0" applyFont="1"/>
    <xf numFmtId="164" fontId="3" fillId="0" borderId="0" xfId="0" applyNumberFormat="1" applyFont="1"/>
    <xf numFmtId="0" fontId="0" fillId="0" borderId="0" xfId="0" applyBorder="1"/>
    <xf numFmtId="1" fontId="0" fillId="0" borderId="0" xfId="0" applyNumberFormat="1" applyBorder="1"/>
    <xf numFmtId="0" fontId="0" fillId="0" borderId="2" xfId="0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3" fillId="2" borderId="5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ill="1" applyBorder="1"/>
    <xf numFmtId="0" fontId="5" fillId="0" borderId="1" xfId="0" applyFont="1" applyBorder="1"/>
    <xf numFmtId="3" fontId="0" fillId="0" borderId="0" xfId="0" applyNumberFormat="1"/>
    <xf numFmtId="0" fontId="0" fillId="0" borderId="0" xfId="0" applyFill="1" applyBorder="1"/>
    <xf numFmtId="0" fontId="0" fillId="0" borderId="0" xfId="0" applyFill="1"/>
    <xf numFmtId="1" fontId="0" fillId="0" borderId="0" xfId="0" applyNumberFormat="1" applyFill="1" applyBorder="1"/>
    <xf numFmtId="0" fontId="0" fillId="0" borderId="2" xfId="0" applyFill="1" applyBorder="1"/>
    <xf numFmtId="43" fontId="0" fillId="0" borderId="0" xfId="0" applyNumberFormat="1" applyFill="1"/>
    <xf numFmtId="0" fontId="5" fillId="0" borderId="9" xfId="0" applyFont="1" applyBorder="1"/>
    <xf numFmtId="2" fontId="6" fillId="0" borderId="9" xfId="0" applyNumberFormat="1" applyFont="1" applyBorder="1"/>
    <xf numFmtId="164" fontId="5" fillId="0" borderId="9" xfId="0" applyNumberFormat="1" applyFont="1" applyBorder="1"/>
    <xf numFmtId="0" fontId="5" fillId="2" borderId="10" xfId="0" applyFont="1" applyFill="1" applyBorder="1"/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179A-FFB5-4F3F-81E3-26AA07950B7D}">
  <dimension ref="A2:AO43"/>
  <sheetViews>
    <sheetView tabSelected="1" zoomScale="70" zoomScaleNormal="70" workbookViewId="0">
      <selection activeCell="H20" sqref="H20"/>
    </sheetView>
  </sheetViews>
  <sheetFormatPr defaultRowHeight="14.5" x14ac:dyDescent="0.35"/>
  <cols>
    <col min="1" max="1" width="76.54296875" bestFit="1" customWidth="1"/>
    <col min="2" max="2" width="20.453125" customWidth="1"/>
    <col min="5" max="9" width="10.54296875" customWidth="1"/>
    <col min="11" max="11" width="26" customWidth="1"/>
    <col min="12" max="12" width="11.1796875" customWidth="1"/>
    <col min="13" max="13" width="22.453125" customWidth="1"/>
    <col min="14" max="14" width="19.453125" customWidth="1"/>
    <col min="15" max="15" width="17.81640625" customWidth="1"/>
    <col min="16" max="16" width="14.81640625" customWidth="1"/>
    <col min="17" max="20" width="10.81640625" customWidth="1"/>
    <col min="22" max="22" width="20.453125" customWidth="1"/>
    <col min="23" max="23" width="19.1796875" customWidth="1"/>
    <col min="24" max="27" width="11.1796875" customWidth="1"/>
    <col min="28" max="28" width="13.453125" customWidth="1"/>
    <col min="29" max="29" width="28.453125" customWidth="1"/>
    <col min="30" max="30" width="13.1796875" customWidth="1"/>
    <col min="31" max="31" width="34.7265625" customWidth="1"/>
    <col min="32" max="32" width="18.26953125" bestFit="1" customWidth="1"/>
    <col min="33" max="33" width="17" customWidth="1"/>
    <col min="34" max="34" width="19.1796875" customWidth="1"/>
    <col min="35" max="35" width="19" customWidth="1"/>
    <col min="36" max="36" width="16.54296875" customWidth="1"/>
    <col min="37" max="37" width="16.81640625" bestFit="1" customWidth="1"/>
    <col min="38" max="38" width="23.81640625" customWidth="1"/>
    <col min="39" max="39" width="17.26953125" bestFit="1" customWidth="1"/>
    <col min="40" max="40" width="8.7265625" customWidth="1"/>
  </cols>
  <sheetData>
    <row r="2" spans="1:37" x14ac:dyDescent="0.35">
      <c r="O2" t="s">
        <v>39</v>
      </c>
      <c r="P2" t="s">
        <v>9</v>
      </c>
      <c r="Q2" t="s">
        <v>10</v>
      </c>
      <c r="R2" t="s">
        <v>11</v>
      </c>
      <c r="S2" t="s">
        <v>18</v>
      </c>
      <c r="T2" t="s">
        <v>40</v>
      </c>
      <c r="W2" t="s">
        <v>39</v>
      </c>
      <c r="X2" t="s">
        <v>9</v>
      </c>
      <c r="Y2" t="s">
        <v>10</v>
      </c>
      <c r="Z2" t="s">
        <v>11</v>
      </c>
      <c r="AA2" t="s">
        <v>18</v>
      </c>
      <c r="AB2" t="s">
        <v>40</v>
      </c>
      <c r="AE2" s="16" t="s">
        <v>41</v>
      </c>
      <c r="AF2" s="17" t="s">
        <v>9</v>
      </c>
      <c r="AG2" s="17" t="s">
        <v>10</v>
      </c>
      <c r="AH2" s="17" t="s">
        <v>11</v>
      </c>
      <c r="AI2" s="17" t="s">
        <v>18</v>
      </c>
      <c r="AJ2" s="17" t="s">
        <v>40</v>
      </c>
      <c r="AK2" s="18"/>
    </row>
    <row r="3" spans="1:37" x14ac:dyDescent="0.35">
      <c r="L3" s="39" t="s">
        <v>34</v>
      </c>
      <c r="M3" t="s">
        <v>22</v>
      </c>
      <c r="N3" t="s">
        <v>25</v>
      </c>
      <c r="O3" s="38" t="s">
        <v>27</v>
      </c>
      <c r="P3" s="38"/>
      <c r="Q3" s="38"/>
      <c r="R3" s="38"/>
      <c r="S3" s="38"/>
      <c r="W3" s="38" t="s">
        <v>22</v>
      </c>
      <c r="X3" s="38"/>
      <c r="Y3" s="38"/>
      <c r="Z3" s="38"/>
      <c r="AA3" s="38"/>
      <c r="AB3" s="38"/>
      <c r="AE3" s="19" t="s">
        <v>20</v>
      </c>
      <c r="AF3" s="20"/>
      <c r="AG3" s="20"/>
      <c r="AH3" s="20"/>
      <c r="AI3" s="20"/>
      <c r="AJ3" s="20"/>
      <c r="AK3" s="21"/>
    </row>
    <row r="4" spans="1:37" x14ac:dyDescent="0.35">
      <c r="D4" t="s">
        <v>24</v>
      </c>
      <c r="K4" t="s">
        <v>3</v>
      </c>
      <c r="M4" s="2">
        <v>13.5</v>
      </c>
      <c r="N4">
        <v>422.5</v>
      </c>
      <c r="O4">
        <v>15</v>
      </c>
      <c r="P4">
        <v>0</v>
      </c>
      <c r="Q4">
        <v>0</v>
      </c>
      <c r="R4">
        <v>0</v>
      </c>
      <c r="S4">
        <v>0</v>
      </c>
      <c r="T4">
        <v>0</v>
      </c>
      <c r="W4" s="2">
        <f>O4*$M4/100</f>
        <v>2.0249999999999999</v>
      </c>
      <c r="X4" s="2">
        <f t="shared" ref="X4:AB6" si="0">P4*$M4/100</f>
        <v>0</v>
      </c>
      <c r="Y4" s="2">
        <f t="shared" si="0"/>
        <v>0</v>
      </c>
      <c r="Z4" s="2">
        <f t="shared" si="0"/>
        <v>0</v>
      </c>
      <c r="AA4" s="2">
        <f t="shared" si="0"/>
        <v>0</v>
      </c>
      <c r="AB4" s="2">
        <f t="shared" si="0"/>
        <v>0</v>
      </c>
      <c r="AC4" s="2"/>
      <c r="AE4" s="19">
        <f t="shared" ref="AE4:AE9" si="1">(O4*N4)/100</f>
        <v>63.375</v>
      </c>
      <c r="AF4" s="20">
        <v>0</v>
      </c>
      <c r="AG4" s="20">
        <v>0</v>
      </c>
      <c r="AH4" s="20">
        <v>0</v>
      </c>
      <c r="AI4" s="20">
        <v>0</v>
      </c>
      <c r="AJ4" s="20">
        <v>0</v>
      </c>
      <c r="AK4" s="21"/>
    </row>
    <row r="5" spans="1:37" x14ac:dyDescent="0.35">
      <c r="B5" t="s">
        <v>44</v>
      </c>
      <c r="C5" s="6" t="s">
        <v>2</v>
      </c>
      <c r="D5" t="s">
        <v>9</v>
      </c>
      <c r="E5" t="s">
        <v>10</v>
      </c>
      <c r="F5" t="s">
        <v>11</v>
      </c>
      <c r="G5" t="s">
        <v>18</v>
      </c>
      <c r="H5" t="s">
        <v>40</v>
      </c>
      <c r="K5" t="s">
        <v>4</v>
      </c>
      <c r="L5" t="s">
        <v>6</v>
      </c>
      <c r="M5" s="2">
        <v>15</v>
      </c>
      <c r="N5">
        <v>989.5</v>
      </c>
      <c r="O5">
        <v>43</v>
      </c>
      <c r="P5">
        <f>O4+O5</f>
        <v>58</v>
      </c>
      <c r="Q5">
        <v>0</v>
      </c>
      <c r="R5">
        <v>0</v>
      </c>
      <c r="S5">
        <v>0</v>
      </c>
      <c r="T5">
        <v>0</v>
      </c>
      <c r="W5" s="2">
        <f>O5*$M5/100</f>
        <v>6.45</v>
      </c>
      <c r="X5" s="2">
        <f t="shared" si="0"/>
        <v>8.6999999999999993</v>
      </c>
      <c r="Y5" s="2">
        <f t="shared" si="0"/>
        <v>0</v>
      </c>
      <c r="Z5" s="2">
        <f t="shared" si="0"/>
        <v>0</v>
      </c>
      <c r="AA5" s="2">
        <f t="shared" si="0"/>
        <v>0</v>
      </c>
      <c r="AB5" s="2">
        <f t="shared" ref="AB5:AB6" si="2">T5*$M5/100</f>
        <v>0</v>
      </c>
      <c r="AC5" s="2"/>
      <c r="AE5" s="19">
        <f t="shared" si="1"/>
        <v>425.48500000000001</v>
      </c>
      <c r="AF5" s="20">
        <f>(N5*P5)/100</f>
        <v>573.91</v>
      </c>
      <c r="AG5" s="20">
        <v>0</v>
      </c>
      <c r="AH5" s="20">
        <v>0</v>
      </c>
      <c r="AI5" s="20">
        <v>0</v>
      </c>
      <c r="AJ5" s="20">
        <v>0</v>
      </c>
      <c r="AK5" s="21"/>
    </row>
    <row r="6" spans="1:37" x14ac:dyDescent="0.35">
      <c r="A6" t="s">
        <v>21</v>
      </c>
      <c r="B6" s="2">
        <v>4.7</v>
      </c>
      <c r="C6" s="7">
        <v>3.74</v>
      </c>
      <c r="D6" s="2">
        <v>4.7</v>
      </c>
      <c r="E6" s="2">
        <v>4.7</v>
      </c>
      <c r="F6" s="2">
        <v>4.7</v>
      </c>
      <c r="G6" s="2">
        <v>4.7</v>
      </c>
      <c r="H6" s="2">
        <v>4.7</v>
      </c>
      <c r="I6" s="2"/>
      <c r="K6" t="s">
        <v>5</v>
      </c>
      <c r="L6" t="s">
        <v>9</v>
      </c>
      <c r="M6" s="2">
        <v>19.25</v>
      </c>
      <c r="N6">
        <v>1500.7</v>
      </c>
      <c r="O6">
        <v>42</v>
      </c>
      <c r="P6">
        <v>42</v>
      </c>
      <c r="Q6">
        <f>O4+O5+O6</f>
        <v>100</v>
      </c>
      <c r="R6">
        <v>0</v>
      </c>
      <c r="S6">
        <v>0</v>
      </c>
      <c r="T6">
        <v>0</v>
      </c>
      <c r="W6" s="2">
        <f t="shared" ref="W6:W9" si="3">O6*$M6/100</f>
        <v>8.0850000000000009</v>
      </c>
      <c r="X6" s="2">
        <f t="shared" si="0"/>
        <v>8.0850000000000009</v>
      </c>
      <c r="Y6" s="2">
        <f t="shared" si="0"/>
        <v>19.25</v>
      </c>
      <c r="Z6" s="2">
        <f t="shared" si="0"/>
        <v>0</v>
      </c>
      <c r="AA6" s="2">
        <f t="shared" si="0"/>
        <v>0</v>
      </c>
      <c r="AB6" s="2">
        <f t="shared" si="2"/>
        <v>0</v>
      </c>
      <c r="AC6" s="2"/>
      <c r="AE6" s="19">
        <f t="shared" si="1"/>
        <v>630.29399999999998</v>
      </c>
      <c r="AF6" s="20">
        <f>(N6*P6)/100</f>
        <v>630.29399999999998</v>
      </c>
      <c r="AG6" s="20">
        <f>(N6*Q6)/100</f>
        <v>1500.7</v>
      </c>
      <c r="AH6" s="20">
        <v>0</v>
      </c>
      <c r="AI6" s="20">
        <v>0</v>
      </c>
      <c r="AJ6" s="20">
        <v>0</v>
      </c>
      <c r="AK6" s="21"/>
    </row>
    <row r="7" spans="1:37" x14ac:dyDescent="0.35">
      <c r="A7" t="s">
        <v>36</v>
      </c>
      <c r="B7" s="2">
        <f>0.2783*W11</f>
        <v>4.6086480000000005</v>
      </c>
      <c r="C7" s="7">
        <f>5.13</f>
        <v>5.13</v>
      </c>
      <c r="D7" s="2">
        <f>0.278*X11</f>
        <v>4.6662300000000005</v>
      </c>
      <c r="E7" s="2">
        <f>0.278*Y11</f>
        <v>5.3515000000000006</v>
      </c>
      <c r="F7" s="2">
        <f>0.278*Z11</f>
        <v>7.158500000000001</v>
      </c>
      <c r="G7" s="2">
        <f>0.278*AA11</f>
        <v>7.7701000000000002</v>
      </c>
      <c r="H7" s="2">
        <f>0.278*AB11</f>
        <v>8.9933000000000014</v>
      </c>
      <c r="I7" s="2"/>
      <c r="K7" t="s">
        <v>7</v>
      </c>
      <c r="L7" t="s">
        <v>10</v>
      </c>
      <c r="M7" s="2">
        <v>25.75</v>
      </c>
      <c r="N7">
        <v>2100</v>
      </c>
      <c r="O7">
        <v>0</v>
      </c>
      <c r="P7">
        <v>0</v>
      </c>
      <c r="Q7">
        <v>0</v>
      </c>
      <c r="R7">
        <v>100</v>
      </c>
      <c r="S7">
        <v>0</v>
      </c>
      <c r="T7">
        <v>0</v>
      </c>
      <c r="W7" s="2">
        <f t="shared" si="3"/>
        <v>0</v>
      </c>
      <c r="X7" s="2">
        <f t="shared" ref="X7:AB9" si="4">P7*$M7/100</f>
        <v>0</v>
      </c>
      <c r="Y7" s="2">
        <f t="shared" si="4"/>
        <v>0</v>
      </c>
      <c r="Z7" s="2">
        <f t="shared" si="4"/>
        <v>25.75</v>
      </c>
      <c r="AA7" s="2">
        <f t="shared" si="4"/>
        <v>0</v>
      </c>
      <c r="AB7" s="2">
        <f t="shared" si="4"/>
        <v>0</v>
      </c>
      <c r="AC7" s="2"/>
      <c r="AE7" s="19">
        <f t="shared" si="1"/>
        <v>0</v>
      </c>
      <c r="AF7" s="20">
        <v>0</v>
      </c>
      <c r="AG7" s="20">
        <v>0</v>
      </c>
      <c r="AH7" s="20">
        <f>(N7*R7)/100</f>
        <v>2100</v>
      </c>
      <c r="AI7" s="20">
        <v>0</v>
      </c>
      <c r="AJ7" s="20">
        <v>0</v>
      </c>
      <c r="AK7" s="21"/>
    </row>
    <row r="8" spans="1:37" x14ac:dyDescent="0.35">
      <c r="A8" t="s">
        <v>23</v>
      </c>
      <c r="B8" s="2">
        <f>SUM(B6:B7)</f>
        <v>9.3086480000000016</v>
      </c>
      <c r="C8" s="7">
        <f>SUM(C6:C7)</f>
        <v>8.870000000000001</v>
      </c>
      <c r="D8" s="2">
        <f>SUM(D6:D7)</f>
        <v>9.3662300000000016</v>
      </c>
      <c r="E8" s="2">
        <f t="shared" ref="E8:H8" si="5">SUM(E6:E7)</f>
        <v>10.051500000000001</v>
      </c>
      <c r="F8" s="2">
        <f t="shared" si="5"/>
        <v>11.858500000000001</v>
      </c>
      <c r="G8" s="2">
        <f t="shared" si="5"/>
        <v>12.4701</v>
      </c>
      <c r="H8" s="2">
        <f t="shared" si="5"/>
        <v>13.693300000000001</v>
      </c>
      <c r="I8" s="2"/>
      <c r="K8" t="s">
        <v>8</v>
      </c>
      <c r="L8" t="s">
        <v>11</v>
      </c>
      <c r="M8" s="2">
        <v>27.95</v>
      </c>
      <c r="N8">
        <v>3000</v>
      </c>
      <c r="O8">
        <v>0</v>
      </c>
      <c r="P8">
        <v>0</v>
      </c>
      <c r="Q8">
        <v>0</v>
      </c>
      <c r="R8">
        <v>0</v>
      </c>
      <c r="S8">
        <v>100</v>
      </c>
      <c r="T8">
        <v>0</v>
      </c>
      <c r="W8" s="2">
        <f t="shared" si="3"/>
        <v>0</v>
      </c>
      <c r="X8" s="2">
        <f t="shared" si="4"/>
        <v>0</v>
      </c>
      <c r="Y8" s="2">
        <f t="shared" si="4"/>
        <v>0</v>
      </c>
      <c r="Z8" s="2">
        <f t="shared" si="4"/>
        <v>0</v>
      </c>
      <c r="AA8" s="2">
        <f t="shared" si="4"/>
        <v>27.95</v>
      </c>
      <c r="AB8" s="2">
        <f t="shared" si="4"/>
        <v>0</v>
      </c>
      <c r="AC8" s="2"/>
      <c r="AE8" s="19">
        <f t="shared" si="1"/>
        <v>0</v>
      </c>
      <c r="AF8" s="20">
        <v>0</v>
      </c>
      <c r="AG8" s="20">
        <v>0</v>
      </c>
      <c r="AH8" s="20">
        <v>0</v>
      </c>
      <c r="AI8" s="20">
        <f>(N8*S8)/100</f>
        <v>3000</v>
      </c>
      <c r="AJ8" s="20">
        <v>0</v>
      </c>
      <c r="AK8" s="21"/>
    </row>
    <row r="9" spans="1:37" x14ac:dyDescent="0.35">
      <c r="C9" s="6"/>
      <c r="K9" t="s">
        <v>17</v>
      </c>
      <c r="L9" t="s">
        <v>18</v>
      </c>
      <c r="M9" s="2">
        <v>32.35</v>
      </c>
      <c r="N9">
        <v>3400</v>
      </c>
      <c r="O9">
        <v>0</v>
      </c>
      <c r="P9">
        <v>0</v>
      </c>
      <c r="Q9">
        <v>0</v>
      </c>
      <c r="R9">
        <v>0</v>
      </c>
      <c r="S9">
        <v>0</v>
      </c>
      <c r="T9">
        <v>100</v>
      </c>
      <c r="W9" s="2">
        <f t="shared" si="3"/>
        <v>0</v>
      </c>
      <c r="X9" s="2">
        <f t="shared" si="4"/>
        <v>0</v>
      </c>
      <c r="Y9" s="2">
        <f t="shared" si="4"/>
        <v>0</v>
      </c>
      <c r="Z9" s="2">
        <f t="shared" si="4"/>
        <v>0</v>
      </c>
      <c r="AA9" s="2">
        <f t="shared" si="4"/>
        <v>0</v>
      </c>
      <c r="AB9" s="2">
        <f t="shared" si="4"/>
        <v>32.35</v>
      </c>
      <c r="AC9" s="2"/>
      <c r="AE9" s="19">
        <f t="shared" si="1"/>
        <v>0</v>
      </c>
      <c r="AF9" s="20">
        <v>0</v>
      </c>
      <c r="AG9" s="20">
        <v>0</v>
      </c>
      <c r="AH9" s="20">
        <v>0</v>
      </c>
      <c r="AI9" s="20">
        <v>0</v>
      </c>
      <c r="AJ9" s="20">
        <f>(N9*T9)/100</f>
        <v>3400</v>
      </c>
      <c r="AK9" s="21"/>
    </row>
    <row r="10" spans="1:37" x14ac:dyDescent="0.35">
      <c r="AC10" s="2"/>
    </row>
    <row r="11" spans="1:37" x14ac:dyDescent="0.35">
      <c r="V11" s="33" t="s">
        <v>42</v>
      </c>
      <c r="W11" s="34">
        <f t="shared" ref="W11:AB11" si="6">SUM(W4:W9)</f>
        <v>16.560000000000002</v>
      </c>
      <c r="X11" s="35">
        <f t="shared" si="6"/>
        <v>16.785</v>
      </c>
      <c r="Y11" s="35">
        <f t="shared" si="6"/>
        <v>19.25</v>
      </c>
      <c r="Z11" s="35">
        <f t="shared" si="6"/>
        <v>25.75</v>
      </c>
      <c r="AA11" s="35">
        <f t="shared" si="6"/>
        <v>27.95</v>
      </c>
      <c r="AB11" s="35">
        <f t="shared" si="6"/>
        <v>32.35</v>
      </c>
      <c r="AD11" s="33" t="s">
        <v>43</v>
      </c>
      <c r="AE11" s="36">
        <f>SUM(AE4:AE9)</f>
        <v>1119.154</v>
      </c>
      <c r="AF11" s="36">
        <f t="shared" ref="AF11:AJ11" si="7">SUM(AF4:AF9)</f>
        <v>1204.204</v>
      </c>
      <c r="AG11" s="36">
        <f t="shared" si="7"/>
        <v>1500.7</v>
      </c>
      <c r="AH11" s="36">
        <f t="shared" si="7"/>
        <v>2100</v>
      </c>
      <c r="AI11" s="36">
        <f t="shared" si="7"/>
        <v>3000</v>
      </c>
      <c r="AJ11" s="36">
        <f t="shared" si="7"/>
        <v>3400</v>
      </c>
      <c r="AK11" s="21"/>
    </row>
    <row r="12" spans="1:37" x14ac:dyDescent="0.35">
      <c r="A12" t="s">
        <v>54</v>
      </c>
      <c r="B12">
        <v>12092</v>
      </c>
      <c r="K12" s="11"/>
      <c r="L12" s="11"/>
      <c r="M12" s="11"/>
      <c r="N12" s="11"/>
      <c r="O12" s="12"/>
      <c r="P12" s="11"/>
      <c r="W12" s="11" t="s">
        <v>35</v>
      </c>
      <c r="AC12" s="2"/>
      <c r="AE12" s="22"/>
      <c r="AF12" s="20"/>
      <c r="AG12" s="20"/>
      <c r="AH12" s="20"/>
      <c r="AI12" s="20"/>
      <c r="AJ12" s="20"/>
      <c r="AK12" s="21"/>
    </row>
    <row r="13" spans="1:37" x14ac:dyDescent="0.35">
      <c r="H13" s="2"/>
      <c r="K13" s="11"/>
      <c r="L13" s="11"/>
      <c r="M13" s="11"/>
      <c r="N13" s="11"/>
      <c r="O13" s="11"/>
      <c r="P13" s="11"/>
      <c r="AE13" s="22" t="s">
        <v>37</v>
      </c>
      <c r="AF13" s="20"/>
      <c r="AG13" s="20"/>
      <c r="AH13" s="20"/>
      <c r="AI13" s="20"/>
      <c r="AJ13" s="20"/>
      <c r="AK13" s="21"/>
    </row>
    <row r="14" spans="1:37" x14ac:dyDescent="0.35">
      <c r="A14" t="s">
        <v>53</v>
      </c>
      <c r="B14">
        <v>1602</v>
      </c>
      <c r="H14" s="2"/>
      <c r="AE14" s="23"/>
      <c r="AF14" s="24"/>
      <c r="AG14" s="24"/>
      <c r="AH14" s="24"/>
      <c r="AI14" s="24"/>
      <c r="AJ14" s="24"/>
      <c r="AK14" s="25"/>
    </row>
    <row r="15" spans="1:37" x14ac:dyDescent="0.35">
      <c r="H15" s="2"/>
    </row>
    <row r="16" spans="1:37" x14ac:dyDescent="0.35">
      <c r="A16" t="s">
        <v>32</v>
      </c>
      <c r="B16" s="27">
        <v>1349158</v>
      </c>
      <c r="H16" s="2"/>
    </row>
    <row r="17" spans="1:41" x14ac:dyDescent="0.35">
      <c r="M17" t="s">
        <v>0</v>
      </c>
      <c r="N17" t="s">
        <v>13</v>
      </c>
      <c r="W17" t="s">
        <v>1</v>
      </c>
      <c r="AF17" t="s">
        <v>12</v>
      </c>
    </row>
    <row r="18" spans="1:41" x14ac:dyDescent="0.35">
      <c r="A18" t="s">
        <v>33</v>
      </c>
      <c r="B18">
        <v>390</v>
      </c>
      <c r="N18" t="s">
        <v>15</v>
      </c>
      <c r="O18" s="6" t="s">
        <v>16</v>
      </c>
      <c r="P18" t="s">
        <v>9</v>
      </c>
      <c r="Q18" t="s">
        <v>10</v>
      </c>
      <c r="R18" t="s">
        <v>11</v>
      </c>
      <c r="S18" t="s">
        <v>18</v>
      </c>
      <c r="T18" t="s">
        <v>40</v>
      </c>
      <c r="W18" t="s">
        <v>15</v>
      </c>
      <c r="X18" s="6" t="s">
        <v>16</v>
      </c>
      <c r="Y18" t="s">
        <v>9</v>
      </c>
      <c r="Z18" t="s">
        <v>10</v>
      </c>
      <c r="AA18" t="s">
        <v>11</v>
      </c>
      <c r="AB18" t="s">
        <v>18</v>
      </c>
      <c r="AC18" t="s">
        <v>40</v>
      </c>
      <c r="AF18" t="s">
        <v>15</v>
      </c>
      <c r="AG18" s="6" t="s">
        <v>16</v>
      </c>
      <c r="AH18" t="s">
        <v>9</v>
      </c>
      <c r="AI18" t="s">
        <v>10</v>
      </c>
      <c r="AJ18" t="s">
        <v>11</v>
      </c>
      <c r="AK18" t="s">
        <v>18</v>
      </c>
      <c r="AL18" t="s">
        <v>40</v>
      </c>
    </row>
    <row r="19" spans="1:41" x14ac:dyDescent="0.35">
      <c r="N19" s="38" t="s">
        <v>14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41" x14ac:dyDescent="0.35">
      <c r="M20">
        <v>10.38</v>
      </c>
      <c r="N20" s="2">
        <f>B8</f>
        <v>9.3086480000000016</v>
      </c>
      <c r="O20" s="7">
        <f t="shared" ref="O20" si="8">C8</f>
        <v>8.870000000000001</v>
      </c>
      <c r="P20" s="2">
        <f>D8</f>
        <v>9.3662300000000016</v>
      </c>
      <c r="Q20" s="2">
        <f t="shared" ref="Q20:T20" si="9">E8</f>
        <v>10.051500000000001</v>
      </c>
      <c r="R20" s="2">
        <f t="shared" si="9"/>
        <v>11.858500000000001</v>
      </c>
      <c r="S20" s="2">
        <f t="shared" si="9"/>
        <v>12.4701</v>
      </c>
      <c r="T20" s="2">
        <f t="shared" si="9"/>
        <v>13.693300000000001</v>
      </c>
      <c r="U20" s="2"/>
      <c r="W20" s="1">
        <f>0.25*N20</f>
        <v>2.3271620000000004</v>
      </c>
      <c r="X20" s="8">
        <f t="shared" ref="X20:AC20" si="10">0.25*O20</f>
        <v>2.2175000000000002</v>
      </c>
      <c r="Y20" s="1">
        <f>0.25*P20</f>
        <v>2.3415575000000004</v>
      </c>
      <c r="Z20" s="1">
        <f t="shared" si="10"/>
        <v>2.5128750000000002</v>
      </c>
      <c r="AA20" s="1">
        <f t="shared" si="10"/>
        <v>2.9646250000000003</v>
      </c>
      <c r="AB20" s="1">
        <f t="shared" si="10"/>
        <v>3.1175250000000001</v>
      </c>
      <c r="AC20" s="1">
        <f t="shared" si="10"/>
        <v>3.4233250000000002</v>
      </c>
      <c r="AD20" s="1"/>
      <c r="AF20" s="2">
        <f t="shared" ref="AF20:AL20" si="11">_xlfn.NORM.DIST($M20,N20,W20,1)*100</f>
        <v>67.737411739906619</v>
      </c>
      <c r="AG20" s="7">
        <f t="shared" si="11"/>
        <v>75.204749039566437</v>
      </c>
      <c r="AH20" s="2">
        <f>_xlfn.NORM.DIST($M20,P20,Y20,1)*100</f>
        <v>66.747331722654479</v>
      </c>
      <c r="AI20" s="2">
        <f t="shared" si="11"/>
        <v>55.200426760163893</v>
      </c>
      <c r="AJ20" s="2">
        <f t="shared" si="11"/>
        <v>30.899043928266622</v>
      </c>
      <c r="AK20" s="2">
        <f t="shared" si="11"/>
        <v>25.129004728369608</v>
      </c>
      <c r="AL20" s="2">
        <f t="shared" si="11"/>
        <v>16.655709822555718</v>
      </c>
      <c r="AM20" s="2"/>
      <c r="AO20" s="2"/>
    </row>
    <row r="21" spans="1:41" x14ac:dyDescent="0.35">
      <c r="AC21" s="15"/>
      <c r="AD21" s="15"/>
      <c r="AE21" s="15"/>
      <c r="AF21" s="15"/>
      <c r="AG21" s="15"/>
      <c r="AH21" s="15"/>
    </row>
    <row r="22" spans="1:41" x14ac:dyDescent="0.35">
      <c r="L22" s="9" t="s">
        <v>46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C22" s="13"/>
      <c r="AE22" s="9" t="s">
        <v>46</v>
      </c>
      <c r="AF22" s="9">
        <f>B12</f>
        <v>12092</v>
      </c>
      <c r="AG22" s="9"/>
      <c r="AH22" s="14">
        <f t="shared" ref="AH22:AL22" si="12">(AH20/$AF20)*$AF22</f>
        <v>11915.2579713175</v>
      </c>
      <c r="AI22" s="10">
        <f t="shared" si="12"/>
        <v>9853.9867886723878</v>
      </c>
      <c r="AJ22" s="10">
        <f t="shared" si="12"/>
        <v>5515.8771140421359</v>
      </c>
      <c r="AK22" s="10">
        <f t="shared" si="12"/>
        <v>4485.8508373804625</v>
      </c>
      <c r="AL22" s="10">
        <f t="shared" si="12"/>
        <v>2973.2586173748214</v>
      </c>
      <c r="AM22" s="10"/>
    </row>
    <row r="23" spans="1:41" x14ac:dyDescent="0.35">
      <c r="L23" t="s">
        <v>47</v>
      </c>
      <c r="AE23" t="s">
        <v>47</v>
      </c>
      <c r="AF23" s="3">
        <f>AF22-$AF$22</f>
        <v>0</v>
      </c>
      <c r="AH23" s="3">
        <f t="shared" ref="AH23:AL23" si="13">$AF22-AH22</f>
        <v>176.74202868249995</v>
      </c>
      <c r="AI23" s="3">
        <f t="shared" si="13"/>
        <v>2238.0132113276122</v>
      </c>
      <c r="AJ23" s="3">
        <f t="shared" si="13"/>
        <v>6576.1228859578641</v>
      </c>
      <c r="AK23" s="3">
        <f t="shared" si="13"/>
        <v>7606.1491626195375</v>
      </c>
      <c r="AL23" s="3">
        <f t="shared" si="13"/>
        <v>9118.7413826251795</v>
      </c>
      <c r="AM23" s="3"/>
    </row>
    <row r="24" spans="1:41" x14ac:dyDescent="0.35">
      <c r="L24" t="s">
        <v>19</v>
      </c>
      <c r="AC24" s="4"/>
      <c r="AE24" t="s">
        <v>48</v>
      </c>
      <c r="AF24" s="4">
        <f>AF22*$B14</f>
        <v>19371384</v>
      </c>
      <c r="AG24" s="4">
        <f t="shared" ref="AG24:AL24" si="14">AG22*$B14</f>
        <v>0</v>
      </c>
      <c r="AH24" s="4">
        <f t="shared" si="14"/>
        <v>19088243.270050634</v>
      </c>
      <c r="AI24" s="4">
        <f t="shared" si="14"/>
        <v>15786086.835453166</v>
      </c>
      <c r="AJ24" s="4">
        <f t="shared" si="14"/>
        <v>8836435.1366955023</v>
      </c>
      <c r="AK24" s="4">
        <f t="shared" si="14"/>
        <v>7186333.041483501</v>
      </c>
      <c r="AL24" s="4">
        <f t="shared" si="14"/>
        <v>4763160.3050344642</v>
      </c>
      <c r="AM24" s="4"/>
      <c r="AO24" s="3"/>
    </row>
    <row r="25" spans="1:41" x14ac:dyDescent="0.35">
      <c r="L25" t="s">
        <v>49</v>
      </c>
      <c r="AE25" t="s">
        <v>49</v>
      </c>
      <c r="AF25" s="5">
        <f>$AF24-AF24</f>
        <v>0</v>
      </c>
      <c r="AH25" s="5">
        <f t="shared" ref="AH25:AL25" si="15">$AF24-AH24</f>
        <v>283140.7299493663</v>
      </c>
      <c r="AI25" s="5">
        <f t="shared" si="15"/>
        <v>3585297.1645468343</v>
      </c>
      <c r="AJ25" s="5">
        <f t="shared" si="15"/>
        <v>10534948.863304498</v>
      </c>
      <c r="AK25" s="5">
        <f t="shared" si="15"/>
        <v>12185050.958516499</v>
      </c>
      <c r="AL25" s="5">
        <f t="shared" si="15"/>
        <v>14608223.694965536</v>
      </c>
      <c r="AM25" s="5"/>
    </row>
    <row r="26" spans="1:41" x14ac:dyDescent="0.35">
      <c r="AE26" s="29"/>
      <c r="AF26" s="32"/>
      <c r="AG26" s="32"/>
      <c r="AH26" s="32"/>
      <c r="AI26" s="32"/>
      <c r="AJ26" s="32"/>
      <c r="AK26" s="32"/>
      <c r="AL26" s="32"/>
    </row>
    <row r="27" spans="1:41" x14ac:dyDescent="0.35">
      <c r="AE27" s="29"/>
      <c r="AF27" s="32"/>
      <c r="AG27" s="32"/>
      <c r="AH27" s="32"/>
      <c r="AI27" s="32"/>
      <c r="AJ27" s="32"/>
      <c r="AK27" s="32"/>
      <c r="AL27" s="32"/>
    </row>
    <row r="28" spans="1:41" x14ac:dyDescent="0.35">
      <c r="AE28" s="29"/>
      <c r="AF28" s="32"/>
      <c r="AG28" s="32"/>
      <c r="AH28" s="32"/>
      <c r="AI28" s="32"/>
      <c r="AJ28" s="32"/>
      <c r="AK28" s="32"/>
      <c r="AL28" s="32"/>
    </row>
    <row r="29" spans="1:41" x14ac:dyDescent="0.35">
      <c r="AE29" s="29"/>
      <c r="AF29" s="32"/>
      <c r="AG29" s="32"/>
      <c r="AH29" s="32"/>
      <c r="AI29" s="32"/>
      <c r="AJ29" s="32"/>
      <c r="AK29" s="32"/>
      <c r="AL29" s="32"/>
    </row>
    <row r="30" spans="1:41" x14ac:dyDescent="0.35">
      <c r="AE30" s="29"/>
      <c r="AF30" s="31"/>
      <c r="AG30" s="31"/>
      <c r="AH30" s="31" t="s">
        <v>26</v>
      </c>
      <c r="AI30" s="29"/>
      <c r="AJ30" s="29"/>
      <c r="AK30" s="29"/>
      <c r="AL30" s="29"/>
    </row>
    <row r="31" spans="1:41" x14ac:dyDescent="0.35">
      <c r="L31" s="26" t="s">
        <v>30</v>
      </c>
      <c r="M31" s="26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D31" s="9"/>
      <c r="AE31" s="29"/>
      <c r="AF31" s="28" t="s">
        <v>41</v>
      </c>
      <c r="AG31" s="29"/>
      <c r="AH31" s="28" t="s">
        <v>9</v>
      </c>
      <c r="AI31" s="9" t="s">
        <v>10</v>
      </c>
      <c r="AJ31" s="9" t="s">
        <v>11</v>
      </c>
      <c r="AK31" s="9" t="s">
        <v>18</v>
      </c>
      <c r="AL31" s="9" t="s">
        <v>40</v>
      </c>
      <c r="AM31" s="9"/>
    </row>
    <row r="32" spans="1:41" x14ac:dyDescent="0.35"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 t="s">
        <v>28</v>
      </c>
      <c r="AD32" s="13"/>
      <c r="AE32" s="29"/>
      <c r="AF32" s="28">
        <f>AE11/1000</f>
        <v>1.119154</v>
      </c>
      <c r="AG32" s="29"/>
      <c r="AH32" s="28">
        <f>AF11/1000</f>
        <v>1.2042040000000001</v>
      </c>
      <c r="AI32" s="13">
        <f>AG11/1000</f>
        <v>1.5007000000000001</v>
      </c>
      <c r="AJ32" s="13">
        <f>AH11/1000</f>
        <v>2.1</v>
      </c>
      <c r="AK32" s="13">
        <f>AI11/1000</f>
        <v>3</v>
      </c>
      <c r="AL32" s="13">
        <f>AJ11/1000</f>
        <v>3.4</v>
      </c>
      <c r="AM32" s="13"/>
    </row>
    <row r="33" spans="12:39" x14ac:dyDescent="0.35"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 t="s">
        <v>50</v>
      </c>
      <c r="AC33" s="13" t="s">
        <v>29</v>
      </c>
      <c r="AD33" s="13"/>
      <c r="AE33" s="29"/>
      <c r="AF33" s="30">
        <f>(AF32/$AF32)*100</f>
        <v>100</v>
      </c>
      <c r="AG33" s="29"/>
      <c r="AH33" s="30">
        <f t="shared" ref="AH33:AL33" si="16">(AH32/$AF32)*100</f>
        <v>107.59949032930231</v>
      </c>
      <c r="AI33" s="14">
        <f t="shared" si="16"/>
        <v>134.09235904978226</v>
      </c>
      <c r="AJ33" s="14">
        <f t="shared" si="16"/>
        <v>187.64173652598305</v>
      </c>
      <c r="AK33" s="14">
        <f t="shared" si="16"/>
        <v>268.05962360854716</v>
      </c>
      <c r="AL33" s="14">
        <f t="shared" si="16"/>
        <v>303.80090675635347</v>
      </c>
      <c r="AM33" s="14"/>
    </row>
    <row r="34" spans="12:39" x14ac:dyDescent="0.35"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 t="s">
        <v>31</v>
      </c>
      <c r="AC34" s="13"/>
      <c r="AD34" s="13"/>
      <c r="AF34" s="13">
        <f>AF32*$B$18</f>
        <v>436.47005999999999</v>
      </c>
      <c r="AH34" s="13">
        <f t="shared" ref="AH34:AL34" si="17">AH32*$B$18</f>
        <v>469.63956000000002</v>
      </c>
      <c r="AI34" s="13">
        <f t="shared" si="17"/>
        <v>585.27300000000002</v>
      </c>
      <c r="AJ34" s="13">
        <f t="shared" si="17"/>
        <v>819</v>
      </c>
      <c r="AK34" s="13">
        <f t="shared" si="17"/>
        <v>1170</v>
      </c>
      <c r="AL34" s="13">
        <f t="shared" si="17"/>
        <v>1326</v>
      </c>
      <c r="AM34" s="13"/>
    </row>
    <row r="35" spans="12:39" x14ac:dyDescent="0.35">
      <c r="AB35" s="28" t="s">
        <v>51</v>
      </c>
      <c r="AE35" s="4">
        <f>AE34*$B$16</f>
        <v>0</v>
      </c>
      <c r="AF35" s="4">
        <f>AF34*$B$16</f>
        <v>588867073.20947993</v>
      </c>
      <c r="AH35" s="4">
        <f>AH34*$B$16</f>
        <v>633617969.49048007</v>
      </c>
      <c r="AI35" s="4">
        <f t="shared" ref="AI35:AL35" si="18">AI34*$B$16</f>
        <v>789625750.13400006</v>
      </c>
      <c r="AJ35" s="4">
        <f t="shared" si="18"/>
        <v>1104960402</v>
      </c>
      <c r="AK35" s="4">
        <f t="shared" si="18"/>
        <v>1578514860</v>
      </c>
      <c r="AL35" s="4">
        <f t="shared" si="18"/>
        <v>1788983508</v>
      </c>
      <c r="AM35" s="4"/>
    </row>
    <row r="36" spans="12:39" x14ac:dyDescent="0.35">
      <c r="AB36" s="28" t="s">
        <v>55</v>
      </c>
      <c r="AH36" s="5">
        <f>AH35-$AF35</f>
        <v>44750896.281000137</v>
      </c>
      <c r="AI36" s="5">
        <f t="shared" ref="AI36:AL36" si="19">AI35-$AF35</f>
        <v>200758676.92452013</v>
      </c>
      <c r="AJ36" s="5">
        <f t="shared" si="19"/>
        <v>516093328.79052007</v>
      </c>
      <c r="AK36" s="5">
        <f t="shared" si="19"/>
        <v>989647786.79052007</v>
      </c>
      <c r="AL36" s="5">
        <f t="shared" si="19"/>
        <v>1200116434.7905202</v>
      </c>
    </row>
    <row r="37" spans="12:39" x14ac:dyDescent="0.35">
      <c r="AB37" t="s">
        <v>52</v>
      </c>
      <c r="AF37">
        <f>(AF32/AF32)*100</f>
        <v>100</v>
      </c>
      <c r="AH37" s="5">
        <f t="shared" ref="AH37:AL37" si="20">AH35-$AF35+AH25</f>
        <v>45034037.010949507</v>
      </c>
      <c r="AI37" s="5">
        <f t="shared" si="20"/>
        <v>204343974.08906698</v>
      </c>
      <c r="AJ37" s="5">
        <f>AJ35-$AF35+AJ25</f>
        <v>526628277.65382457</v>
      </c>
      <c r="AK37" s="5">
        <f t="shared" si="20"/>
        <v>1001832837.7490366</v>
      </c>
      <c r="AL37" s="5">
        <f t="shared" si="20"/>
        <v>1214724658.4854858</v>
      </c>
      <c r="AM37" s="5"/>
    </row>
    <row r="39" spans="12:39" x14ac:dyDescent="0.35">
      <c r="AB39" t="s">
        <v>38</v>
      </c>
      <c r="AF39" t="e">
        <f>AF35/AF25</f>
        <v>#DIV/0!</v>
      </c>
      <c r="AH39" s="5">
        <f>((AH35-$AF35)/AH25)</f>
        <v>158.05177972453092</v>
      </c>
      <c r="AI39" s="5">
        <f t="shared" ref="AI39:AL39" si="21">((AI35-$AF35)/AI25)</f>
        <v>55.994989455747145</v>
      </c>
      <c r="AJ39" s="5">
        <f t="shared" si="21"/>
        <v>48.98868855340956</v>
      </c>
      <c r="AK39" s="5">
        <f t="shared" si="21"/>
        <v>81.218190236523014</v>
      </c>
      <c r="AL39" s="5">
        <f t="shared" si="21"/>
        <v>82.153481480716849</v>
      </c>
    </row>
    <row r="40" spans="12:39" x14ac:dyDescent="0.35">
      <c r="AG40" s="5"/>
    </row>
    <row r="43" spans="12:39" ht="15.5" x14ac:dyDescent="0.35">
      <c r="AB43" s="37" t="s">
        <v>45</v>
      </c>
    </row>
  </sheetData>
  <mergeCells count="3">
    <mergeCell ref="O3:S3"/>
    <mergeCell ref="N19:AA19"/>
    <mergeCell ref="W3:AB3"/>
  </mergeCells>
  <phoneticPr fontId="4" type="noConversion"/>
  <pageMargins left="0.7" right="0.7" top="0.75" bottom="0.75" header="0.3" footer="0.3"/>
  <pageSetup paperSize="9" orientation="portrait" horizontalDpi="300" verticalDpi="300" r:id="rId1"/>
  <ignoredErrors>
    <ignoredError sqref="AH24:AL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Joy</dc:creator>
  <cp:lastModifiedBy>Grace</cp:lastModifiedBy>
  <dcterms:created xsi:type="dcterms:W3CDTF">2018-08-10T10:06:06Z</dcterms:created>
  <dcterms:modified xsi:type="dcterms:W3CDTF">2020-06-16T15:52:44Z</dcterms:modified>
</cp:coreProperties>
</file>