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5" windowWidth="14805" windowHeight="7950"/>
  </bookViews>
  <sheets>
    <sheet name="Dataset EV1 Legend" sheetId="27" r:id="rId1"/>
    <sheet name="Fig 1E" sheetId="21" r:id="rId2"/>
    <sheet name="Fig 1G" sheetId="22" r:id="rId3"/>
    <sheet name="Fig 4B" sheetId="1" r:id="rId4"/>
    <sheet name="Fig 4C" sheetId="23" r:id="rId5"/>
    <sheet name="Fig 4E" sheetId="4" r:id="rId6"/>
    <sheet name="Fig 4F" sheetId="24" r:id="rId7"/>
    <sheet name="Fig 4G" sheetId="25" r:id="rId8"/>
    <sheet name="Fig 5C" sheetId="15" r:id="rId9"/>
    <sheet name="Fig 5E" sheetId="16" r:id="rId10"/>
    <sheet name="Fig 6D" sheetId="19" r:id="rId11"/>
    <sheet name="Fig 6F" sheetId="17" r:id="rId12"/>
    <sheet name="Fig 7B" sheetId="3" r:id="rId13"/>
    <sheet name="Fig 7C" sheetId="12" r:id="rId14"/>
    <sheet name="Fig 7E" sheetId="6" r:id="rId15"/>
    <sheet name="Fig 7H" sheetId="7" r:id="rId16"/>
    <sheet name="Fig EV1E" sheetId="26" r:id="rId17"/>
    <sheet name="Fig EV2A" sheetId="10" r:id="rId18"/>
    <sheet name="Fig EV2B" sheetId="11" r:id="rId19"/>
    <sheet name="Fig EV4B" sheetId="8" r:id="rId20"/>
    <sheet name="Fig EV4D" sheetId="9" r:id="rId21"/>
    <sheet name="Fig EV5D" sheetId="14" r:id="rId22"/>
    <sheet name="Fig EV5G" sheetId="18" r:id="rId23"/>
  </sheets>
  <calcPr calcId="145621"/>
</workbook>
</file>

<file path=xl/calcChain.xml><?xml version="1.0" encoding="utf-8"?>
<calcChain xmlns="http://schemas.openxmlformats.org/spreadsheetml/2006/main">
  <c r="B26" i="1" l="1"/>
  <c r="C38" i="8" l="1"/>
  <c r="B57" i="15" l="1"/>
  <c r="B56" i="15"/>
  <c r="H28" i="21" l="1"/>
  <c r="I24" i="22"/>
  <c r="B60" i="19" l="1"/>
  <c r="B90" i="19" l="1"/>
  <c r="B59" i="15"/>
  <c r="B55" i="15"/>
  <c r="B70" i="19" l="1"/>
  <c r="B64" i="19"/>
  <c r="B63" i="19"/>
  <c r="B62" i="19"/>
  <c r="B61" i="19"/>
  <c r="B82" i="19"/>
  <c r="B78" i="19"/>
  <c r="B76" i="19"/>
  <c r="B72" i="19"/>
  <c r="B66" i="19"/>
  <c r="B94" i="19"/>
  <c r="B88" i="19"/>
  <c r="B84" i="19"/>
  <c r="B58" i="15"/>
  <c r="H9" i="15"/>
  <c r="B13" i="4"/>
  <c r="B25" i="1"/>
  <c r="M15" i="22"/>
  <c r="D4" i="21"/>
  <c r="B110" i="7" l="1"/>
  <c r="B109" i="7"/>
  <c r="B108" i="7"/>
  <c r="B106" i="7"/>
  <c r="B105" i="7"/>
  <c r="B104" i="7"/>
  <c r="O35" i="16"/>
  <c r="D7" i="24"/>
  <c r="E4" i="21"/>
  <c r="K34" i="23"/>
  <c r="D34" i="23"/>
  <c r="K33" i="23"/>
  <c r="D33" i="23"/>
  <c r="K32" i="23"/>
  <c r="D32" i="23"/>
  <c r="K30" i="23"/>
  <c r="D30" i="23"/>
  <c r="K29" i="23"/>
  <c r="D29" i="23"/>
  <c r="K28" i="23"/>
  <c r="L30" i="23" s="1"/>
  <c r="D28" i="23"/>
  <c r="E30" i="23" s="1"/>
  <c r="K26" i="23"/>
  <c r="D26" i="23"/>
  <c r="K25" i="23"/>
  <c r="D25" i="23"/>
  <c r="K24" i="23"/>
  <c r="L26" i="23" s="1"/>
  <c r="D24" i="23"/>
  <c r="E26" i="23" s="1"/>
  <c r="K22" i="23"/>
  <c r="D22" i="23"/>
  <c r="K21" i="23"/>
  <c r="D21" i="23"/>
  <c r="K20" i="23"/>
  <c r="D20" i="23"/>
  <c r="K18" i="23"/>
  <c r="D18" i="23"/>
  <c r="K17" i="23"/>
  <c r="D17" i="23"/>
  <c r="K16" i="23"/>
  <c r="D16" i="23"/>
  <c r="E18" i="23" s="1"/>
  <c r="K14" i="23"/>
  <c r="D14" i="23"/>
  <c r="K13" i="23"/>
  <c r="D13" i="23"/>
  <c r="K12" i="23"/>
  <c r="L14" i="23" s="1"/>
  <c r="D12" i="23"/>
  <c r="K10" i="23"/>
  <c r="D10" i="23"/>
  <c r="K9" i="23"/>
  <c r="D9" i="23"/>
  <c r="K8" i="23"/>
  <c r="D8" i="23"/>
  <c r="K6" i="23"/>
  <c r="D6" i="23"/>
  <c r="K5" i="23"/>
  <c r="D5" i="23"/>
  <c r="K4" i="23"/>
  <c r="D4" i="23"/>
  <c r="E6" i="23" s="1"/>
  <c r="F6" i="23" s="1"/>
  <c r="L22" i="23" l="1"/>
  <c r="L6" i="23"/>
  <c r="M6" i="23" s="1"/>
  <c r="L10" i="23"/>
  <c r="L34" i="23"/>
  <c r="E14" i="23"/>
  <c r="E22" i="23"/>
  <c r="F22" i="23" s="1"/>
  <c r="E10" i="23"/>
  <c r="F10" i="23" s="1"/>
  <c r="L18" i="23"/>
  <c r="E34" i="23"/>
  <c r="F34" i="23" s="1"/>
  <c r="F18" i="23"/>
  <c r="F30" i="23"/>
  <c r="F14" i="23"/>
  <c r="F26" i="23"/>
  <c r="M22" i="23" l="1"/>
  <c r="M30" i="23"/>
  <c r="M18" i="23"/>
  <c r="M14" i="23"/>
  <c r="M34" i="23"/>
  <c r="M26" i="23"/>
  <c r="M10" i="23"/>
  <c r="E27" i="26" l="1"/>
  <c r="E26" i="26"/>
  <c r="E25" i="26"/>
  <c r="E24" i="26"/>
  <c r="E23" i="26"/>
  <c r="E22" i="26"/>
  <c r="E21" i="26"/>
  <c r="E20" i="26"/>
  <c r="E19" i="26"/>
  <c r="E18" i="26"/>
  <c r="E17" i="26"/>
  <c r="E16" i="26"/>
  <c r="E15" i="26"/>
  <c r="E14" i="26"/>
  <c r="E13" i="26"/>
  <c r="E12" i="26"/>
  <c r="E11" i="26"/>
  <c r="E10" i="26"/>
  <c r="E9" i="26"/>
  <c r="E8" i="26"/>
  <c r="E5" i="26"/>
  <c r="E4" i="26"/>
  <c r="M41" i="25" l="1"/>
  <c r="N41" i="25" s="1"/>
  <c r="O41" i="25" s="1"/>
  <c r="E41" i="25"/>
  <c r="F41" i="25" s="1"/>
  <c r="G41" i="25" s="1"/>
  <c r="M40" i="25"/>
  <c r="N40" i="25" s="1"/>
  <c r="O40" i="25" s="1"/>
  <c r="E40" i="25"/>
  <c r="F40" i="25" s="1"/>
  <c r="G40" i="25" s="1"/>
  <c r="M39" i="25"/>
  <c r="N39" i="25" s="1"/>
  <c r="O39" i="25" s="1"/>
  <c r="E39" i="25"/>
  <c r="F39" i="25" s="1"/>
  <c r="G39" i="25" s="1"/>
  <c r="M38" i="25"/>
  <c r="N38" i="25" s="1"/>
  <c r="O38" i="25" s="1"/>
  <c r="E38" i="25"/>
  <c r="F38" i="25" s="1"/>
  <c r="G38" i="25" s="1"/>
  <c r="M37" i="25"/>
  <c r="N37" i="25" s="1"/>
  <c r="O37" i="25" s="1"/>
  <c r="E37" i="25"/>
  <c r="F37" i="25" s="1"/>
  <c r="G37" i="25" s="1"/>
  <c r="M36" i="25"/>
  <c r="N36" i="25" s="1"/>
  <c r="O36" i="25" s="1"/>
  <c r="E36" i="25"/>
  <c r="F36" i="25" s="1"/>
  <c r="G36" i="25" s="1"/>
  <c r="M35" i="25"/>
  <c r="N35" i="25" s="1"/>
  <c r="O35" i="25" s="1"/>
  <c r="E35" i="25"/>
  <c r="F35" i="25" s="1"/>
  <c r="G35" i="25" s="1"/>
  <c r="M34" i="25"/>
  <c r="N34" i="25" s="1"/>
  <c r="O34" i="25" s="1"/>
  <c r="E34" i="25"/>
  <c r="F34" i="25" s="1"/>
  <c r="G34" i="25" s="1"/>
  <c r="M33" i="25"/>
  <c r="N33" i="25" s="1"/>
  <c r="O33" i="25" s="1"/>
  <c r="E33" i="25"/>
  <c r="F33" i="25" s="1"/>
  <c r="G33" i="25" s="1"/>
  <c r="M32" i="25"/>
  <c r="N32" i="25" s="1"/>
  <c r="O32" i="25" s="1"/>
  <c r="E32" i="25"/>
  <c r="F32" i="25" s="1"/>
  <c r="G32" i="25" s="1"/>
  <c r="M31" i="25"/>
  <c r="N31" i="25" s="1"/>
  <c r="O31" i="25" s="1"/>
  <c r="E31" i="25"/>
  <c r="F31" i="25" s="1"/>
  <c r="G31" i="25" s="1"/>
  <c r="M30" i="25"/>
  <c r="N30" i="25" s="1"/>
  <c r="O30" i="25" s="1"/>
  <c r="E30" i="25"/>
  <c r="F30" i="25" s="1"/>
  <c r="G30" i="25" s="1"/>
  <c r="M29" i="25"/>
  <c r="N29" i="25" s="1"/>
  <c r="O29" i="25" s="1"/>
  <c r="E29" i="25"/>
  <c r="F29" i="25" s="1"/>
  <c r="G29" i="25" s="1"/>
  <c r="M28" i="25"/>
  <c r="N28" i="25" s="1"/>
  <c r="O28" i="25" s="1"/>
  <c r="E28" i="25"/>
  <c r="F28" i="25" s="1"/>
  <c r="G28" i="25" s="1"/>
  <c r="M27" i="25"/>
  <c r="N27" i="25" s="1"/>
  <c r="O27" i="25" s="1"/>
  <c r="E27" i="25"/>
  <c r="F27" i="25" s="1"/>
  <c r="G27" i="25" s="1"/>
  <c r="M21" i="25"/>
  <c r="N21" i="25" s="1"/>
  <c r="O21" i="25" s="1"/>
  <c r="E21" i="25"/>
  <c r="F21" i="25" s="1"/>
  <c r="G21" i="25" s="1"/>
  <c r="M20" i="25"/>
  <c r="N20" i="25" s="1"/>
  <c r="O20" i="25" s="1"/>
  <c r="E20" i="25"/>
  <c r="F20" i="25" s="1"/>
  <c r="G20" i="25" s="1"/>
  <c r="M19" i="25"/>
  <c r="N19" i="25" s="1"/>
  <c r="O19" i="25" s="1"/>
  <c r="E19" i="25"/>
  <c r="F19" i="25" s="1"/>
  <c r="G19" i="25" s="1"/>
  <c r="M18" i="25"/>
  <c r="N18" i="25" s="1"/>
  <c r="O18" i="25" s="1"/>
  <c r="E18" i="25"/>
  <c r="F18" i="25" s="1"/>
  <c r="G18" i="25" s="1"/>
  <c r="M17" i="25"/>
  <c r="N17" i="25" s="1"/>
  <c r="O17" i="25" s="1"/>
  <c r="E17" i="25"/>
  <c r="F17" i="25" s="1"/>
  <c r="G17" i="25" s="1"/>
  <c r="M16" i="25"/>
  <c r="N16" i="25" s="1"/>
  <c r="O16" i="25" s="1"/>
  <c r="E16" i="25"/>
  <c r="F16" i="25" s="1"/>
  <c r="G16" i="25" s="1"/>
  <c r="M15" i="25"/>
  <c r="N15" i="25" s="1"/>
  <c r="O15" i="25" s="1"/>
  <c r="E15" i="25"/>
  <c r="F15" i="25" s="1"/>
  <c r="G15" i="25" s="1"/>
  <c r="M14" i="25"/>
  <c r="N14" i="25" s="1"/>
  <c r="O14" i="25" s="1"/>
  <c r="E14" i="25"/>
  <c r="F14" i="25" s="1"/>
  <c r="G14" i="25" s="1"/>
  <c r="M13" i="25"/>
  <c r="N13" i="25" s="1"/>
  <c r="O13" i="25" s="1"/>
  <c r="E13" i="25"/>
  <c r="F13" i="25" s="1"/>
  <c r="G13" i="25" s="1"/>
  <c r="M12" i="25"/>
  <c r="N12" i="25" s="1"/>
  <c r="O12" i="25" s="1"/>
  <c r="E12" i="25"/>
  <c r="F12" i="25" s="1"/>
  <c r="G12" i="25" s="1"/>
  <c r="M11" i="25"/>
  <c r="N11" i="25" s="1"/>
  <c r="O11" i="25" s="1"/>
  <c r="E11" i="25"/>
  <c r="F11" i="25" s="1"/>
  <c r="G11" i="25" s="1"/>
  <c r="M10" i="25"/>
  <c r="N10" i="25" s="1"/>
  <c r="O10" i="25" s="1"/>
  <c r="E10" i="25"/>
  <c r="F10" i="25" s="1"/>
  <c r="G10" i="25" s="1"/>
  <c r="M9" i="25"/>
  <c r="N9" i="25" s="1"/>
  <c r="O9" i="25" s="1"/>
  <c r="E9" i="25"/>
  <c r="F9" i="25" s="1"/>
  <c r="G9" i="25" s="1"/>
  <c r="M8" i="25"/>
  <c r="N8" i="25" s="1"/>
  <c r="O8" i="25" s="1"/>
  <c r="E8" i="25"/>
  <c r="F8" i="25" s="1"/>
  <c r="G8" i="25" s="1"/>
  <c r="N7" i="25"/>
  <c r="O7" i="25" s="1"/>
  <c r="M7" i="25"/>
  <c r="E7" i="25"/>
  <c r="F7" i="25" s="1"/>
  <c r="G7" i="25" s="1"/>
  <c r="O41" i="24"/>
  <c r="P41" i="24" s="1"/>
  <c r="Q41" i="24" s="1"/>
  <c r="F41" i="24"/>
  <c r="G41" i="24" s="1"/>
  <c r="H41" i="24" s="1"/>
  <c r="O40" i="24"/>
  <c r="P40" i="24" s="1"/>
  <c r="Q40" i="24" s="1"/>
  <c r="F40" i="24"/>
  <c r="G40" i="24" s="1"/>
  <c r="H40" i="24" s="1"/>
  <c r="O39" i="24"/>
  <c r="P39" i="24" s="1"/>
  <c r="Q39" i="24" s="1"/>
  <c r="F39" i="24"/>
  <c r="G39" i="24" s="1"/>
  <c r="H39" i="24" s="1"/>
  <c r="O38" i="24"/>
  <c r="P38" i="24" s="1"/>
  <c r="Q38" i="24" s="1"/>
  <c r="F38" i="24"/>
  <c r="G38" i="24" s="1"/>
  <c r="H38" i="24" s="1"/>
  <c r="O37" i="24"/>
  <c r="P37" i="24" s="1"/>
  <c r="Q37" i="24" s="1"/>
  <c r="F37" i="24"/>
  <c r="G37" i="24" s="1"/>
  <c r="H37" i="24" s="1"/>
  <c r="O36" i="24"/>
  <c r="P36" i="24" s="1"/>
  <c r="Q36" i="24" s="1"/>
  <c r="F36" i="24"/>
  <c r="G36" i="24" s="1"/>
  <c r="H36" i="24" s="1"/>
  <c r="O35" i="24"/>
  <c r="P35" i="24" s="1"/>
  <c r="Q35" i="24" s="1"/>
  <c r="F35" i="24"/>
  <c r="G35" i="24" s="1"/>
  <c r="H35" i="24" s="1"/>
  <c r="O34" i="24"/>
  <c r="P34" i="24" s="1"/>
  <c r="Q34" i="24" s="1"/>
  <c r="F34" i="24"/>
  <c r="G34" i="24" s="1"/>
  <c r="H34" i="24" s="1"/>
  <c r="O33" i="24"/>
  <c r="P33" i="24" s="1"/>
  <c r="Q33" i="24" s="1"/>
  <c r="G33" i="24"/>
  <c r="H33" i="24" s="1"/>
  <c r="F33" i="24"/>
  <c r="O32" i="24"/>
  <c r="P32" i="24" s="1"/>
  <c r="Q32" i="24" s="1"/>
  <c r="F32" i="24"/>
  <c r="G32" i="24" s="1"/>
  <c r="H32" i="24" s="1"/>
  <c r="O31" i="24"/>
  <c r="P31" i="24" s="1"/>
  <c r="Q31" i="24" s="1"/>
  <c r="F31" i="24"/>
  <c r="G31" i="24" s="1"/>
  <c r="H31" i="24" s="1"/>
  <c r="O30" i="24"/>
  <c r="P30" i="24" s="1"/>
  <c r="Q30" i="24" s="1"/>
  <c r="F30" i="24"/>
  <c r="G30" i="24" s="1"/>
  <c r="H30" i="24" s="1"/>
  <c r="O29" i="24"/>
  <c r="P29" i="24" s="1"/>
  <c r="Q29" i="24" s="1"/>
  <c r="F29" i="24"/>
  <c r="G29" i="24" s="1"/>
  <c r="H29" i="24" s="1"/>
  <c r="O28" i="24"/>
  <c r="P28" i="24" s="1"/>
  <c r="Q28" i="24" s="1"/>
  <c r="F28" i="24"/>
  <c r="G28" i="24" s="1"/>
  <c r="H28" i="24" s="1"/>
  <c r="O27" i="24"/>
  <c r="P27" i="24" s="1"/>
  <c r="Q27" i="24" s="1"/>
  <c r="F27" i="24"/>
  <c r="G27" i="24" s="1"/>
  <c r="H27" i="24" s="1"/>
  <c r="O21" i="24"/>
  <c r="P21" i="24" s="1"/>
  <c r="Q21" i="24" s="1"/>
  <c r="F21" i="24"/>
  <c r="G21" i="24" s="1"/>
  <c r="H21" i="24" s="1"/>
  <c r="O20" i="24"/>
  <c r="P20" i="24" s="1"/>
  <c r="Q20" i="24" s="1"/>
  <c r="F20" i="24"/>
  <c r="G20" i="24" s="1"/>
  <c r="H20" i="24" s="1"/>
  <c r="M19" i="24"/>
  <c r="O19" i="24" s="1"/>
  <c r="P19" i="24" s="1"/>
  <c r="Q19" i="24" s="1"/>
  <c r="D19" i="24"/>
  <c r="F19" i="24" s="1"/>
  <c r="G19" i="24" s="1"/>
  <c r="H19" i="24" s="1"/>
  <c r="O18" i="24"/>
  <c r="P18" i="24" s="1"/>
  <c r="Q18" i="24" s="1"/>
  <c r="F18" i="24"/>
  <c r="G18" i="24" s="1"/>
  <c r="H18" i="24" s="1"/>
  <c r="O17" i="24"/>
  <c r="P17" i="24" s="1"/>
  <c r="Q17" i="24" s="1"/>
  <c r="F17" i="24"/>
  <c r="G17" i="24" s="1"/>
  <c r="H17" i="24" s="1"/>
  <c r="M16" i="24"/>
  <c r="O16" i="24" s="1"/>
  <c r="P16" i="24" s="1"/>
  <c r="Q16" i="24" s="1"/>
  <c r="D16" i="24"/>
  <c r="F16" i="24" s="1"/>
  <c r="G16" i="24" s="1"/>
  <c r="H16" i="24" s="1"/>
  <c r="O15" i="24"/>
  <c r="P15" i="24" s="1"/>
  <c r="Q15" i="24" s="1"/>
  <c r="F15" i="24"/>
  <c r="G15" i="24" s="1"/>
  <c r="H15" i="24" s="1"/>
  <c r="O14" i="24"/>
  <c r="P14" i="24" s="1"/>
  <c r="Q14" i="24" s="1"/>
  <c r="F14" i="24"/>
  <c r="G14" i="24" s="1"/>
  <c r="H14" i="24" s="1"/>
  <c r="M13" i="24"/>
  <c r="O13" i="24" s="1"/>
  <c r="P13" i="24" s="1"/>
  <c r="Q13" i="24" s="1"/>
  <c r="D13" i="24"/>
  <c r="F13" i="24" s="1"/>
  <c r="G13" i="24" s="1"/>
  <c r="H13" i="24" s="1"/>
  <c r="O12" i="24"/>
  <c r="P12" i="24" s="1"/>
  <c r="Q12" i="24" s="1"/>
  <c r="F12" i="24"/>
  <c r="G12" i="24" s="1"/>
  <c r="H12" i="24" s="1"/>
  <c r="O11" i="24"/>
  <c r="P11" i="24" s="1"/>
  <c r="Q11" i="24" s="1"/>
  <c r="F11" i="24"/>
  <c r="G11" i="24" s="1"/>
  <c r="H11" i="24" s="1"/>
  <c r="M10" i="24"/>
  <c r="O10" i="24" s="1"/>
  <c r="P10" i="24" s="1"/>
  <c r="Q10" i="24" s="1"/>
  <c r="D10" i="24"/>
  <c r="F10" i="24" s="1"/>
  <c r="G10" i="24" s="1"/>
  <c r="H10" i="24" s="1"/>
  <c r="O9" i="24"/>
  <c r="P9" i="24" s="1"/>
  <c r="Q9" i="24" s="1"/>
  <c r="F9" i="24"/>
  <c r="G9" i="24" s="1"/>
  <c r="H9" i="24" s="1"/>
  <c r="O8" i="24"/>
  <c r="P8" i="24" s="1"/>
  <c r="Q8" i="24" s="1"/>
  <c r="F8" i="24"/>
  <c r="G8" i="24" s="1"/>
  <c r="H8" i="24" s="1"/>
  <c r="M7" i="24"/>
  <c r="O7" i="24" s="1"/>
  <c r="P7" i="24" s="1"/>
  <c r="Q7" i="24" s="1"/>
  <c r="F7" i="24"/>
  <c r="G7" i="24" s="1"/>
  <c r="H7" i="24" s="1"/>
  <c r="B35" i="17"/>
  <c r="I20" i="17"/>
  <c r="I21" i="17"/>
  <c r="J21" i="17"/>
  <c r="S16" i="25" l="1"/>
  <c r="S36" i="25"/>
  <c r="S14" i="25"/>
  <c r="S15" i="25"/>
  <c r="S34" i="25"/>
  <c r="S35" i="25"/>
  <c r="U35" i="24"/>
  <c r="U16" i="24"/>
  <c r="U36" i="24"/>
  <c r="U15" i="24"/>
  <c r="B34" i="1"/>
  <c r="L15" i="22"/>
  <c r="L14" i="22"/>
  <c r="M14" i="22" s="1"/>
  <c r="L13" i="22"/>
  <c r="M13" i="22" s="1"/>
  <c r="L12" i="22"/>
  <c r="M12" i="22" s="1"/>
  <c r="L11" i="22"/>
  <c r="M11" i="22" s="1"/>
  <c r="L10" i="22"/>
  <c r="M10" i="22" s="1"/>
  <c r="M9" i="22"/>
  <c r="M8" i="22"/>
  <c r="M7" i="22"/>
  <c r="L6" i="22"/>
  <c r="M6" i="22" s="1"/>
  <c r="M5" i="22"/>
  <c r="L4" i="22"/>
  <c r="M4" i="22" s="1"/>
  <c r="E88" i="22"/>
  <c r="D88" i="22"/>
  <c r="E87" i="22"/>
  <c r="D87" i="22"/>
  <c r="E86" i="22"/>
  <c r="D86" i="22"/>
  <c r="E85" i="22"/>
  <c r="D85" i="22"/>
  <c r="E84" i="22"/>
  <c r="D84" i="22"/>
  <c r="E83" i="22"/>
  <c r="D83" i="22"/>
  <c r="E82" i="22"/>
  <c r="D82" i="22"/>
  <c r="E81" i="22"/>
  <c r="D81" i="22"/>
  <c r="E80" i="22"/>
  <c r="D80" i="22"/>
  <c r="E79" i="22"/>
  <c r="D79" i="22"/>
  <c r="E78" i="22"/>
  <c r="D78" i="22"/>
  <c r="E77" i="22"/>
  <c r="D77" i="22"/>
  <c r="E76" i="22"/>
  <c r="D76" i="22"/>
  <c r="D75" i="22"/>
  <c r="E75" i="22" s="1"/>
  <c r="E74" i="22"/>
  <c r="D74" i="22"/>
  <c r="E73" i="22"/>
  <c r="D73" i="22"/>
  <c r="E72" i="22"/>
  <c r="D72" i="22"/>
  <c r="E71" i="22"/>
  <c r="D71" i="22"/>
  <c r="E70" i="22"/>
  <c r="D70" i="22"/>
  <c r="E69" i="22"/>
  <c r="D69" i="22"/>
  <c r="E68" i="22"/>
  <c r="D68" i="22"/>
  <c r="E67" i="22"/>
  <c r="D67" i="22"/>
  <c r="E66" i="22"/>
  <c r="D66" i="22"/>
  <c r="E65" i="22"/>
  <c r="D65" i="22"/>
  <c r="E64" i="22"/>
  <c r="D64" i="22"/>
  <c r="E63" i="22"/>
  <c r="D63" i="22"/>
  <c r="E62" i="22"/>
  <c r="D62" i="22"/>
  <c r="E61" i="22"/>
  <c r="D61" i="22"/>
  <c r="E60" i="22"/>
  <c r="D60" i="22"/>
  <c r="E59" i="22"/>
  <c r="D59" i="22"/>
  <c r="E58" i="22"/>
  <c r="D58" i="22"/>
  <c r="E57" i="22"/>
  <c r="D57" i="22"/>
  <c r="E56" i="22"/>
  <c r="D56" i="22"/>
  <c r="E55" i="22"/>
  <c r="D55" i="22"/>
  <c r="E54" i="22"/>
  <c r="D54" i="22"/>
  <c r="E53" i="22"/>
  <c r="D53" i="22"/>
  <c r="E52" i="22"/>
  <c r="D52" i="22"/>
  <c r="E51" i="22"/>
  <c r="D51" i="22"/>
  <c r="E50" i="22"/>
  <c r="D50" i="22"/>
  <c r="E49" i="22"/>
  <c r="D49" i="22"/>
  <c r="E48" i="22"/>
  <c r="D48" i="22"/>
  <c r="E47" i="22"/>
  <c r="D47" i="22"/>
  <c r="E46" i="22"/>
  <c r="D46" i="22"/>
  <c r="E45" i="22"/>
  <c r="D45" i="22"/>
  <c r="E44" i="22"/>
  <c r="D44" i="22"/>
  <c r="E43" i="22"/>
  <c r="D43" i="22"/>
  <c r="E42" i="22"/>
  <c r="D42" i="22"/>
  <c r="E41" i="22"/>
  <c r="D41" i="22"/>
  <c r="E40" i="22"/>
  <c r="D40" i="22"/>
  <c r="E39" i="22"/>
  <c r="D39" i="22"/>
  <c r="E38" i="22"/>
  <c r="D38" i="22"/>
  <c r="E37" i="22"/>
  <c r="D37" i="22"/>
  <c r="E36" i="22"/>
  <c r="D36" i="22"/>
  <c r="E35" i="22"/>
  <c r="D35" i="22"/>
  <c r="E34" i="22"/>
  <c r="D34" i="22"/>
  <c r="E33" i="22"/>
  <c r="D33" i="22"/>
  <c r="E32" i="22"/>
  <c r="D32" i="22"/>
  <c r="E31" i="22"/>
  <c r="D31" i="22"/>
  <c r="E30" i="22"/>
  <c r="D30" i="22"/>
  <c r="D29" i="22"/>
  <c r="E29" i="22" s="1"/>
  <c r="D28" i="22"/>
  <c r="E28" i="22" s="1"/>
  <c r="D27" i="22"/>
  <c r="E27" i="22" s="1"/>
  <c r="D26" i="22"/>
  <c r="E26" i="22" s="1"/>
  <c r="D25" i="22"/>
  <c r="E25" i="22" s="1"/>
  <c r="D24" i="22"/>
  <c r="E24" i="22" s="1"/>
  <c r="D23" i="22"/>
  <c r="E23" i="22" s="1"/>
  <c r="D22" i="22"/>
  <c r="E22" i="22" s="1"/>
  <c r="D21" i="22"/>
  <c r="E21" i="22" s="1"/>
  <c r="D20" i="22"/>
  <c r="E20" i="22" s="1"/>
  <c r="D19" i="22"/>
  <c r="E19" i="22" s="1"/>
  <c r="E18" i="22"/>
  <c r="D17" i="22"/>
  <c r="E17" i="22" s="1"/>
  <c r="D16" i="22"/>
  <c r="E16" i="22" s="1"/>
  <c r="D15" i="22"/>
  <c r="E15" i="22" s="1"/>
  <c r="E14" i="22"/>
  <c r="E13" i="22"/>
  <c r="D12" i="22"/>
  <c r="E12" i="22" s="1"/>
  <c r="D11" i="22"/>
  <c r="E11" i="22" s="1"/>
  <c r="D10" i="22"/>
  <c r="E10" i="22" s="1"/>
  <c r="E9" i="22"/>
  <c r="E8" i="22"/>
  <c r="D7" i="22"/>
  <c r="E7" i="22" s="1"/>
  <c r="E6" i="22"/>
  <c r="E5" i="22"/>
  <c r="D5" i="22"/>
  <c r="E4" i="22"/>
  <c r="D88" i="21"/>
  <c r="E88" i="21" s="1"/>
  <c r="D87" i="21"/>
  <c r="E87" i="21" s="1"/>
  <c r="E86" i="21"/>
  <c r="D86" i="21"/>
  <c r="D85" i="21"/>
  <c r="E85" i="21" s="1"/>
  <c r="D84" i="21"/>
  <c r="E84" i="21" s="1"/>
  <c r="D83" i="21"/>
  <c r="E83" i="21" s="1"/>
  <c r="D82" i="21"/>
  <c r="E82" i="21" s="1"/>
  <c r="D81" i="21"/>
  <c r="E81" i="21" s="1"/>
  <c r="D80" i="21"/>
  <c r="E80" i="21" s="1"/>
  <c r="D79" i="21"/>
  <c r="E79" i="21" s="1"/>
  <c r="E78" i="21"/>
  <c r="D78" i="21"/>
  <c r="D77" i="21"/>
  <c r="E77" i="21" s="1"/>
  <c r="D76" i="21"/>
  <c r="E76" i="21" s="1"/>
  <c r="D75" i="21"/>
  <c r="E75" i="21" s="1"/>
  <c r="D74" i="21"/>
  <c r="E74" i="21" s="1"/>
  <c r="D73" i="21"/>
  <c r="E73" i="21" s="1"/>
  <c r="D72" i="21"/>
  <c r="E72" i="21" s="1"/>
  <c r="D71" i="21"/>
  <c r="E71" i="21" s="1"/>
  <c r="E70" i="21"/>
  <c r="D70" i="21"/>
  <c r="D69" i="21"/>
  <c r="E69" i="21" s="1"/>
  <c r="D68" i="21"/>
  <c r="E68" i="21" s="1"/>
  <c r="D67" i="21"/>
  <c r="E67" i="21" s="1"/>
  <c r="D66" i="21"/>
  <c r="E66" i="21" s="1"/>
  <c r="D65" i="21"/>
  <c r="E65" i="21" s="1"/>
  <c r="D64" i="21"/>
  <c r="E64" i="21" s="1"/>
  <c r="D63" i="21"/>
  <c r="E63" i="21" s="1"/>
  <c r="E62" i="21"/>
  <c r="D62" i="21"/>
  <c r="D61" i="21"/>
  <c r="E61" i="21" s="1"/>
  <c r="D60" i="21"/>
  <c r="E60" i="21" s="1"/>
  <c r="D59" i="21"/>
  <c r="E59" i="21" s="1"/>
  <c r="D58" i="21"/>
  <c r="E58" i="21" s="1"/>
  <c r="D57" i="21"/>
  <c r="E57" i="21" s="1"/>
  <c r="D56" i="21"/>
  <c r="E56" i="21" s="1"/>
  <c r="D55" i="21"/>
  <c r="E55" i="21" s="1"/>
  <c r="E54" i="21"/>
  <c r="D54" i="21"/>
  <c r="D53" i="21"/>
  <c r="E53" i="21" s="1"/>
  <c r="D52" i="21"/>
  <c r="E52" i="21" s="1"/>
  <c r="D51" i="21"/>
  <c r="E51" i="21" s="1"/>
  <c r="D50" i="21"/>
  <c r="E50" i="21" s="1"/>
  <c r="D49" i="21"/>
  <c r="E49" i="21" s="1"/>
  <c r="D48" i="21"/>
  <c r="E48" i="21" s="1"/>
  <c r="D47" i="21"/>
  <c r="E47" i="21" s="1"/>
  <c r="E46" i="21"/>
  <c r="D46" i="21"/>
  <c r="D45" i="21"/>
  <c r="E45" i="21" s="1"/>
  <c r="D44" i="21"/>
  <c r="E44" i="21" s="1"/>
  <c r="D43" i="21"/>
  <c r="E43" i="21" s="1"/>
  <c r="D42" i="21"/>
  <c r="E42" i="21" s="1"/>
  <c r="D41" i="21"/>
  <c r="E41" i="21" s="1"/>
  <c r="D40" i="21"/>
  <c r="E40" i="21" s="1"/>
  <c r="D39" i="21"/>
  <c r="E39" i="21" s="1"/>
  <c r="E38" i="21"/>
  <c r="D38" i="21"/>
  <c r="D37" i="21"/>
  <c r="E37" i="21" s="1"/>
  <c r="D36" i="21"/>
  <c r="E36" i="21" s="1"/>
  <c r="D35" i="21"/>
  <c r="E35" i="21" s="1"/>
  <c r="D34" i="21"/>
  <c r="E34" i="21" s="1"/>
  <c r="D33" i="21"/>
  <c r="E33" i="21" s="1"/>
  <c r="D32" i="21"/>
  <c r="E32" i="21" s="1"/>
  <c r="D31" i="21"/>
  <c r="E31" i="21" s="1"/>
  <c r="E30" i="21"/>
  <c r="D30" i="21"/>
  <c r="D29" i="21"/>
  <c r="E29" i="21" s="1"/>
  <c r="D28" i="21"/>
  <c r="E28" i="21" s="1"/>
  <c r="D27" i="21"/>
  <c r="E27" i="21" s="1"/>
  <c r="D26" i="21"/>
  <c r="E26" i="21" s="1"/>
  <c r="D25" i="21"/>
  <c r="E25" i="21" s="1"/>
  <c r="D24" i="21"/>
  <c r="E24" i="21" s="1"/>
  <c r="D23" i="21"/>
  <c r="E23" i="21" s="1"/>
  <c r="E22" i="21"/>
  <c r="D22" i="21"/>
  <c r="D21" i="21"/>
  <c r="E21" i="21" s="1"/>
  <c r="D20" i="21"/>
  <c r="E20" i="21" s="1"/>
  <c r="D19" i="21"/>
  <c r="E19" i="21" s="1"/>
  <c r="D18" i="21"/>
  <c r="E18" i="21" s="1"/>
  <c r="D17" i="21"/>
  <c r="E17" i="21" s="1"/>
  <c r="D16" i="21"/>
  <c r="E16" i="21" s="1"/>
  <c r="K15" i="21"/>
  <c r="L15" i="21" s="1"/>
  <c r="E15" i="21"/>
  <c r="D15" i="21"/>
  <c r="K14" i="21"/>
  <c r="L14" i="21" s="1"/>
  <c r="D14" i="21"/>
  <c r="E14" i="21" s="1"/>
  <c r="K13" i="21"/>
  <c r="L13" i="21" s="1"/>
  <c r="D13" i="21"/>
  <c r="E13" i="21" s="1"/>
  <c r="K12" i="21"/>
  <c r="L12" i="21" s="1"/>
  <c r="D12" i="21"/>
  <c r="E12" i="21" s="1"/>
  <c r="K11" i="21"/>
  <c r="L11" i="21" s="1"/>
  <c r="E11" i="21"/>
  <c r="D11" i="21"/>
  <c r="K10" i="21"/>
  <c r="L10" i="21" s="1"/>
  <c r="D10" i="21"/>
  <c r="E10" i="21" s="1"/>
  <c r="K9" i="21"/>
  <c r="L9" i="21" s="1"/>
  <c r="D9" i="21"/>
  <c r="E9" i="21" s="1"/>
  <c r="K8" i="21"/>
  <c r="L8" i="21" s="1"/>
  <c r="E8" i="21"/>
  <c r="D8" i="21"/>
  <c r="K7" i="21"/>
  <c r="L7" i="21" s="1"/>
  <c r="E7" i="21"/>
  <c r="D7" i="21"/>
  <c r="K6" i="21"/>
  <c r="L6" i="21" s="1"/>
  <c r="D6" i="21"/>
  <c r="E6" i="21" s="1"/>
  <c r="K5" i="21"/>
  <c r="L5" i="21" s="1"/>
  <c r="D5" i="21"/>
  <c r="E5" i="21" s="1"/>
  <c r="K4" i="21"/>
  <c r="L4" i="21" s="1"/>
  <c r="M41" i="11" l="1"/>
  <c r="N41" i="11" s="1"/>
  <c r="O41" i="11" s="1"/>
  <c r="E41" i="11"/>
  <c r="F41" i="11" s="1"/>
  <c r="G41" i="11" s="1"/>
  <c r="M40" i="11"/>
  <c r="N40" i="11" s="1"/>
  <c r="O40" i="11" s="1"/>
  <c r="E40" i="11"/>
  <c r="F40" i="11" s="1"/>
  <c r="G40" i="11" s="1"/>
  <c r="M39" i="11"/>
  <c r="N39" i="11" s="1"/>
  <c r="O39" i="11" s="1"/>
  <c r="E39" i="11"/>
  <c r="F39" i="11" s="1"/>
  <c r="G39" i="11" s="1"/>
  <c r="M38" i="11"/>
  <c r="N38" i="11" s="1"/>
  <c r="O38" i="11" s="1"/>
  <c r="E38" i="11"/>
  <c r="F38" i="11" s="1"/>
  <c r="G38" i="11" s="1"/>
  <c r="M37" i="11"/>
  <c r="N37" i="11" s="1"/>
  <c r="O37" i="11" s="1"/>
  <c r="E37" i="11"/>
  <c r="F37" i="11" s="1"/>
  <c r="G37" i="11" s="1"/>
  <c r="M36" i="11"/>
  <c r="N36" i="11" s="1"/>
  <c r="O36" i="11" s="1"/>
  <c r="E36" i="11"/>
  <c r="F36" i="11" s="1"/>
  <c r="G36" i="11" s="1"/>
  <c r="M35" i="11"/>
  <c r="N35" i="11" s="1"/>
  <c r="O35" i="11" s="1"/>
  <c r="E35" i="11"/>
  <c r="F35" i="11" s="1"/>
  <c r="G35" i="11" s="1"/>
  <c r="M34" i="11"/>
  <c r="N34" i="11" s="1"/>
  <c r="O34" i="11" s="1"/>
  <c r="E34" i="11"/>
  <c r="F34" i="11" s="1"/>
  <c r="G34" i="11" s="1"/>
  <c r="M33" i="11"/>
  <c r="N33" i="11" s="1"/>
  <c r="O33" i="11" s="1"/>
  <c r="E33" i="11"/>
  <c r="F33" i="11" s="1"/>
  <c r="G33" i="11" s="1"/>
  <c r="M32" i="11"/>
  <c r="N32" i="11" s="1"/>
  <c r="O32" i="11" s="1"/>
  <c r="E32" i="11"/>
  <c r="F32" i="11" s="1"/>
  <c r="G32" i="11" s="1"/>
  <c r="M31" i="11"/>
  <c r="N31" i="11" s="1"/>
  <c r="O31" i="11" s="1"/>
  <c r="E31" i="11"/>
  <c r="F31" i="11" s="1"/>
  <c r="G31" i="11" s="1"/>
  <c r="M30" i="11"/>
  <c r="N30" i="11" s="1"/>
  <c r="O30" i="11" s="1"/>
  <c r="E30" i="11"/>
  <c r="F30" i="11" s="1"/>
  <c r="G30" i="11" s="1"/>
  <c r="M29" i="11"/>
  <c r="N29" i="11" s="1"/>
  <c r="O29" i="11" s="1"/>
  <c r="E29" i="11"/>
  <c r="F29" i="11" s="1"/>
  <c r="G29" i="11" s="1"/>
  <c r="M28" i="11"/>
  <c r="N28" i="11" s="1"/>
  <c r="O28" i="11" s="1"/>
  <c r="E28" i="11"/>
  <c r="F28" i="11" s="1"/>
  <c r="G28" i="11" s="1"/>
  <c r="M27" i="11"/>
  <c r="N27" i="11" s="1"/>
  <c r="O27" i="11" s="1"/>
  <c r="E27" i="11"/>
  <c r="F27" i="11" s="1"/>
  <c r="G27" i="11" s="1"/>
  <c r="M21" i="11"/>
  <c r="N21" i="11" s="1"/>
  <c r="O21" i="11" s="1"/>
  <c r="E21" i="11"/>
  <c r="F21" i="11" s="1"/>
  <c r="G21" i="11" s="1"/>
  <c r="M20" i="11"/>
  <c r="N20" i="11" s="1"/>
  <c r="O20" i="11" s="1"/>
  <c r="E20" i="11"/>
  <c r="F20" i="11" s="1"/>
  <c r="G20" i="11" s="1"/>
  <c r="M19" i="11"/>
  <c r="N19" i="11" s="1"/>
  <c r="O19" i="11" s="1"/>
  <c r="E19" i="11"/>
  <c r="F19" i="11" s="1"/>
  <c r="G19" i="11" s="1"/>
  <c r="M18" i="11"/>
  <c r="N18" i="11" s="1"/>
  <c r="O18" i="11" s="1"/>
  <c r="E18" i="11"/>
  <c r="F18" i="11" s="1"/>
  <c r="G18" i="11" s="1"/>
  <c r="M17" i="11"/>
  <c r="N17" i="11" s="1"/>
  <c r="O17" i="11" s="1"/>
  <c r="E17" i="11"/>
  <c r="F17" i="11" s="1"/>
  <c r="G17" i="11" s="1"/>
  <c r="M16" i="11"/>
  <c r="N16" i="11" s="1"/>
  <c r="O16" i="11" s="1"/>
  <c r="E16" i="11"/>
  <c r="F16" i="11" s="1"/>
  <c r="G16" i="11" s="1"/>
  <c r="M15" i="11"/>
  <c r="N15" i="11" s="1"/>
  <c r="O15" i="11" s="1"/>
  <c r="E15" i="11"/>
  <c r="F15" i="11" s="1"/>
  <c r="G15" i="11" s="1"/>
  <c r="M14" i="11"/>
  <c r="N14" i="11" s="1"/>
  <c r="O14" i="11" s="1"/>
  <c r="E14" i="11"/>
  <c r="F14" i="11" s="1"/>
  <c r="G14" i="11" s="1"/>
  <c r="M13" i="11"/>
  <c r="N13" i="11" s="1"/>
  <c r="O13" i="11" s="1"/>
  <c r="E13" i="11"/>
  <c r="F13" i="11" s="1"/>
  <c r="G13" i="11" s="1"/>
  <c r="M12" i="11"/>
  <c r="N12" i="11" s="1"/>
  <c r="O12" i="11" s="1"/>
  <c r="E12" i="11"/>
  <c r="F12" i="11" s="1"/>
  <c r="G12" i="11" s="1"/>
  <c r="M11" i="11"/>
  <c r="N11" i="11" s="1"/>
  <c r="O11" i="11" s="1"/>
  <c r="E11" i="11"/>
  <c r="F11" i="11" s="1"/>
  <c r="G11" i="11" s="1"/>
  <c r="M10" i="11"/>
  <c r="N10" i="11" s="1"/>
  <c r="O10" i="11" s="1"/>
  <c r="E10" i="11"/>
  <c r="F10" i="11" s="1"/>
  <c r="G10" i="11" s="1"/>
  <c r="M9" i="11"/>
  <c r="N9" i="11" s="1"/>
  <c r="O9" i="11" s="1"/>
  <c r="E9" i="11"/>
  <c r="F9" i="11" s="1"/>
  <c r="G9" i="11" s="1"/>
  <c r="M8" i="11"/>
  <c r="N8" i="11" s="1"/>
  <c r="O8" i="11" s="1"/>
  <c r="E8" i="11"/>
  <c r="F8" i="11" s="1"/>
  <c r="G8" i="11" s="1"/>
  <c r="M7" i="11"/>
  <c r="N7" i="11" s="1"/>
  <c r="O7" i="11" s="1"/>
  <c r="E7" i="11"/>
  <c r="F7" i="11" s="1"/>
  <c r="G7" i="11" s="1"/>
  <c r="S16" i="11" l="1"/>
  <c r="S36" i="11"/>
  <c r="S14" i="11"/>
  <c r="S15" i="11"/>
  <c r="S35" i="11"/>
  <c r="S34" i="11"/>
  <c r="O41" i="10"/>
  <c r="P41" i="10" s="1"/>
  <c r="Q41" i="10" s="1"/>
  <c r="F41" i="10"/>
  <c r="G41" i="10" s="1"/>
  <c r="H41" i="10" s="1"/>
  <c r="O40" i="10"/>
  <c r="P40" i="10" s="1"/>
  <c r="Q40" i="10" s="1"/>
  <c r="F40" i="10"/>
  <c r="G40" i="10" s="1"/>
  <c r="H40" i="10" s="1"/>
  <c r="O39" i="10"/>
  <c r="P39" i="10" s="1"/>
  <c r="Q39" i="10" s="1"/>
  <c r="F39" i="10"/>
  <c r="G39" i="10" s="1"/>
  <c r="H39" i="10" s="1"/>
  <c r="O38" i="10"/>
  <c r="P38" i="10" s="1"/>
  <c r="Q38" i="10" s="1"/>
  <c r="F38" i="10"/>
  <c r="G38" i="10" s="1"/>
  <c r="H38" i="10" s="1"/>
  <c r="O37" i="10"/>
  <c r="P37" i="10" s="1"/>
  <c r="Q37" i="10" s="1"/>
  <c r="F37" i="10"/>
  <c r="G37" i="10" s="1"/>
  <c r="H37" i="10" s="1"/>
  <c r="O36" i="10"/>
  <c r="P36" i="10" s="1"/>
  <c r="Q36" i="10" s="1"/>
  <c r="F36" i="10"/>
  <c r="G36" i="10" s="1"/>
  <c r="H36" i="10" s="1"/>
  <c r="O35" i="10"/>
  <c r="P35" i="10" s="1"/>
  <c r="Q35" i="10" s="1"/>
  <c r="F35" i="10"/>
  <c r="G35" i="10" s="1"/>
  <c r="H35" i="10" s="1"/>
  <c r="O34" i="10"/>
  <c r="P34" i="10" s="1"/>
  <c r="Q34" i="10" s="1"/>
  <c r="F34" i="10"/>
  <c r="G34" i="10" s="1"/>
  <c r="H34" i="10" s="1"/>
  <c r="O33" i="10"/>
  <c r="P33" i="10" s="1"/>
  <c r="Q33" i="10" s="1"/>
  <c r="F33" i="10"/>
  <c r="G33" i="10" s="1"/>
  <c r="H33" i="10" s="1"/>
  <c r="O32" i="10"/>
  <c r="P32" i="10" s="1"/>
  <c r="Q32" i="10" s="1"/>
  <c r="F32" i="10"/>
  <c r="G32" i="10" s="1"/>
  <c r="H32" i="10" s="1"/>
  <c r="O31" i="10"/>
  <c r="P31" i="10" s="1"/>
  <c r="Q31" i="10" s="1"/>
  <c r="F31" i="10"/>
  <c r="G31" i="10" s="1"/>
  <c r="H31" i="10" s="1"/>
  <c r="O30" i="10"/>
  <c r="P30" i="10" s="1"/>
  <c r="Q30" i="10" s="1"/>
  <c r="F30" i="10"/>
  <c r="G30" i="10" s="1"/>
  <c r="H30" i="10" s="1"/>
  <c r="O29" i="10"/>
  <c r="P29" i="10" s="1"/>
  <c r="Q29" i="10" s="1"/>
  <c r="F29" i="10"/>
  <c r="G29" i="10" s="1"/>
  <c r="H29" i="10" s="1"/>
  <c r="O28" i="10"/>
  <c r="P28" i="10" s="1"/>
  <c r="Q28" i="10" s="1"/>
  <c r="F28" i="10"/>
  <c r="G28" i="10" s="1"/>
  <c r="H28" i="10" s="1"/>
  <c r="O27" i="10"/>
  <c r="P27" i="10" s="1"/>
  <c r="Q27" i="10" s="1"/>
  <c r="F27" i="10"/>
  <c r="G27" i="10" s="1"/>
  <c r="H27" i="10" s="1"/>
  <c r="O21" i="10"/>
  <c r="P21" i="10" s="1"/>
  <c r="Q21" i="10" s="1"/>
  <c r="F21" i="10"/>
  <c r="G21" i="10" s="1"/>
  <c r="H21" i="10" s="1"/>
  <c r="O20" i="10"/>
  <c r="P20" i="10" s="1"/>
  <c r="Q20" i="10" s="1"/>
  <c r="F20" i="10"/>
  <c r="G20" i="10" s="1"/>
  <c r="H20" i="10" s="1"/>
  <c r="M19" i="10"/>
  <c r="O19" i="10" s="1"/>
  <c r="P19" i="10" s="1"/>
  <c r="Q19" i="10" s="1"/>
  <c r="D19" i="10"/>
  <c r="F19" i="10" s="1"/>
  <c r="G19" i="10" s="1"/>
  <c r="H19" i="10" s="1"/>
  <c r="O18" i="10"/>
  <c r="P18" i="10" s="1"/>
  <c r="Q18" i="10" s="1"/>
  <c r="F18" i="10"/>
  <c r="G18" i="10" s="1"/>
  <c r="H18" i="10" s="1"/>
  <c r="O17" i="10"/>
  <c r="P17" i="10" s="1"/>
  <c r="Q17" i="10" s="1"/>
  <c r="F17" i="10"/>
  <c r="G17" i="10" s="1"/>
  <c r="H17" i="10" s="1"/>
  <c r="M16" i="10"/>
  <c r="O16" i="10" s="1"/>
  <c r="P16" i="10" s="1"/>
  <c r="Q16" i="10" s="1"/>
  <c r="D16" i="10"/>
  <c r="F16" i="10" s="1"/>
  <c r="G16" i="10" s="1"/>
  <c r="H16" i="10" s="1"/>
  <c r="O15" i="10"/>
  <c r="P15" i="10" s="1"/>
  <c r="Q15" i="10" s="1"/>
  <c r="F15" i="10"/>
  <c r="G15" i="10" s="1"/>
  <c r="H15" i="10" s="1"/>
  <c r="O14" i="10"/>
  <c r="P14" i="10" s="1"/>
  <c r="Q14" i="10" s="1"/>
  <c r="F14" i="10"/>
  <c r="G14" i="10" s="1"/>
  <c r="H14" i="10" s="1"/>
  <c r="M13" i="10"/>
  <c r="O13" i="10" s="1"/>
  <c r="P13" i="10" s="1"/>
  <c r="Q13" i="10" s="1"/>
  <c r="D13" i="10"/>
  <c r="F13" i="10" s="1"/>
  <c r="G13" i="10" s="1"/>
  <c r="H13" i="10" s="1"/>
  <c r="O12" i="10"/>
  <c r="P12" i="10" s="1"/>
  <c r="Q12" i="10" s="1"/>
  <c r="F12" i="10"/>
  <c r="G12" i="10" s="1"/>
  <c r="H12" i="10" s="1"/>
  <c r="O11" i="10"/>
  <c r="P11" i="10" s="1"/>
  <c r="Q11" i="10" s="1"/>
  <c r="F11" i="10"/>
  <c r="G11" i="10" s="1"/>
  <c r="H11" i="10" s="1"/>
  <c r="M10" i="10"/>
  <c r="O10" i="10" s="1"/>
  <c r="P10" i="10" s="1"/>
  <c r="Q10" i="10" s="1"/>
  <c r="D10" i="10"/>
  <c r="F10" i="10" s="1"/>
  <c r="G10" i="10" s="1"/>
  <c r="H10" i="10" s="1"/>
  <c r="O9" i="10"/>
  <c r="P9" i="10" s="1"/>
  <c r="Q9" i="10" s="1"/>
  <c r="F9" i="10"/>
  <c r="G9" i="10" s="1"/>
  <c r="H9" i="10" s="1"/>
  <c r="O8" i="10"/>
  <c r="P8" i="10" s="1"/>
  <c r="Q8" i="10" s="1"/>
  <c r="F8" i="10"/>
  <c r="G8" i="10" s="1"/>
  <c r="H8" i="10" s="1"/>
  <c r="M7" i="10"/>
  <c r="O7" i="10" s="1"/>
  <c r="P7" i="10" s="1"/>
  <c r="Q7" i="10" s="1"/>
  <c r="D7" i="10"/>
  <c r="F7" i="10" s="1"/>
  <c r="G7" i="10" s="1"/>
  <c r="H7" i="10" s="1"/>
  <c r="U35" i="10" l="1"/>
  <c r="U15" i="10"/>
  <c r="U16" i="10"/>
  <c r="U36" i="10"/>
  <c r="C23" i="9"/>
  <c r="G4" i="9"/>
  <c r="B17" i="6"/>
  <c r="B16" i="6"/>
  <c r="B14" i="6"/>
  <c r="B13" i="6"/>
  <c r="B12" i="6"/>
  <c r="B38" i="3"/>
  <c r="B37" i="3"/>
  <c r="B36" i="3"/>
  <c r="B18" i="3"/>
  <c r="B43" i="18"/>
  <c r="I27" i="17"/>
  <c r="H21" i="17"/>
  <c r="H25" i="17"/>
  <c r="L28" i="18"/>
  <c r="K28" i="18"/>
  <c r="J28" i="18"/>
  <c r="I28" i="18"/>
  <c r="H28" i="18"/>
  <c r="F28" i="18"/>
  <c r="E28" i="18"/>
  <c r="D28" i="18"/>
  <c r="C28" i="18"/>
  <c r="B28" i="18"/>
  <c r="L27" i="18"/>
  <c r="K27" i="18"/>
  <c r="J27" i="18"/>
  <c r="I27" i="18"/>
  <c r="H27" i="18"/>
  <c r="F27" i="18"/>
  <c r="E27" i="18"/>
  <c r="D27" i="18"/>
  <c r="C27" i="18"/>
  <c r="B27" i="18"/>
  <c r="L26" i="18"/>
  <c r="K26" i="18"/>
  <c r="J26" i="18"/>
  <c r="I26" i="18"/>
  <c r="H26" i="18"/>
  <c r="F26" i="18"/>
  <c r="E26" i="18"/>
  <c r="D26" i="18"/>
  <c r="C26" i="18"/>
  <c r="B26" i="18"/>
  <c r="L25" i="18"/>
  <c r="K25" i="18"/>
  <c r="J25" i="18"/>
  <c r="I25" i="18"/>
  <c r="H25" i="18"/>
  <c r="F25" i="18"/>
  <c r="E25" i="18"/>
  <c r="D25" i="18"/>
  <c r="C25" i="18"/>
  <c r="B25" i="18"/>
  <c r="L24" i="18"/>
  <c r="K24" i="18"/>
  <c r="J24" i="18"/>
  <c r="I24" i="18"/>
  <c r="H24" i="18"/>
  <c r="F24" i="18"/>
  <c r="E24" i="18"/>
  <c r="D24" i="18"/>
  <c r="C24" i="18"/>
  <c r="B24" i="18"/>
  <c r="L23" i="18"/>
  <c r="K23" i="18"/>
  <c r="J23" i="18"/>
  <c r="I23" i="18"/>
  <c r="H23" i="18"/>
  <c r="F23" i="18"/>
  <c r="E23" i="18"/>
  <c r="D23" i="18"/>
  <c r="C23" i="18"/>
  <c r="B23" i="18"/>
  <c r="L22" i="18"/>
  <c r="K22" i="18"/>
  <c r="J22" i="18"/>
  <c r="I22" i="18"/>
  <c r="H22" i="18"/>
  <c r="F22" i="18"/>
  <c r="E22" i="18"/>
  <c r="D22" i="18"/>
  <c r="C22" i="18"/>
  <c r="B22" i="18"/>
  <c r="L21" i="18"/>
  <c r="K21" i="18"/>
  <c r="J21" i="18"/>
  <c r="I21" i="18"/>
  <c r="H21" i="18"/>
  <c r="F21" i="18"/>
  <c r="E21" i="18"/>
  <c r="D21" i="18"/>
  <c r="C21" i="18"/>
  <c r="B21" i="18"/>
  <c r="L20" i="18"/>
  <c r="K20" i="18"/>
  <c r="J20" i="18"/>
  <c r="I20" i="18"/>
  <c r="H20" i="18"/>
  <c r="F20" i="18"/>
  <c r="E20" i="18"/>
  <c r="D20" i="18"/>
  <c r="C20" i="18"/>
  <c r="B20" i="18"/>
  <c r="L19" i="18"/>
  <c r="K19" i="18"/>
  <c r="J19" i="18"/>
  <c r="I19" i="18"/>
  <c r="H19" i="18"/>
  <c r="F19" i="18"/>
  <c r="E19" i="18"/>
  <c r="D19" i="18"/>
  <c r="C19" i="18"/>
  <c r="B19" i="18"/>
  <c r="L27" i="17"/>
  <c r="K27" i="17"/>
  <c r="J27" i="17"/>
  <c r="H27" i="17"/>
  <c r="F27" i="17"/>
  <c r="E27" i="17"/>
  <c r="D27" i="17"/>
  <c r="C27" i="17"/>
  <c r="B27" i="17"/>
  <c r="L26" i="17"/>
  <c r="K26" i="17"/>
  <c r="J26" i="17"/>
  <c r="I26" i="17"/>
  <c r="H26" i="17"/>
  <c r="F26" i="17"/>
  <c r="E26" i="17"/>
  <c r="D26" i="17"/>
  <c r="C26" i="17"/>
  <c r="B26" i="17"/>
  <c r="L25" i="17"/>
  <c r="K25" i="17"/>
  <c r="J25" i="17"/>
  <c r="I25" i="17"/>
  <c r="F25" i="17"/>
  <c r="E25" i="17"/>
  <c r="D25" i="17"/>
  <c r="C25" i="17"/>
  <c r="B25" i="17"/>
  <c r="L24" i="17"/>
  <c r="K24" i="17"/>
  <c r="J24" i="17"/>
  <c r="I24" i="17"/>
  <c r="H24" i="17"/>
  <c r="F24" i="17"/>
  <c r="E24" i="17"/>
  <c r="D24" i="17"/>
  <c r="C24" i="17"/>
  <c r="B24" i="17"/>
  <c r="L23" i="17"/>
  <c r="K23" i="17"/>
  <c r="J23" i="17"/>
  <c r="I23" i="17"/>
  <c r="H23" i="17"/>
  <c r="F23" i="17"/>
  <c r="E23" i="17"/>
  <c r="D23" i="17"/>
  <c r="C23" i="17"/>
  <c r="B23" i="17"/>
  <c r="L22" i="17"/>
  <c r="K22" i="17"/>
  <c r="J22" i="17"/>
  <c r="I22" i="17"/>
  <c r="H22" i="17"/>
  <c r="F22" i="17"/>
  <c r="E22" i="17"/>
  <c r="D22" i="17"/>
  <c r="C22" i="17"/>
  <c r="B22" i="17"/>
  <c r="L21" i="17"/>
  <c r="K21" i="17"/>
  <c r="F21" i="17"/>
  <c r="E21" i="17"/>
  <c r="D21" i="17"/>
  <c r="C21" i="17"/>
  <c r="B21" i="17"/>
  <c r="L20" i="17"/>
  <c r="K20" i="17"/>
  <c r="J20" i="17"/>
  <c r="H20" i="17"/>
  <c r="F20" i="17"/>
  <c r="E20" i="17"/>
  <c r="D20" i="17"/>
  <c r="C20" i="17"/>
  <c r="B20" i="17"/>
  <c r="L19" i="17"/>
  <c r="K19" i="17"/>
  <c r="J19" i="17"/>
  <c r="I19" i="17"/>
  <c r="H19" i="17"/>
  <c r="F19" i="17"/>
  <c r="E19" i="17"/>
  <c r="D19" i="17"/>
  <c r="C19" i="17"/>
  <c r="B19" i="17"/>
  <c r="L18" i="17"/>
  <c r="K18" i="17"/>
  <c r="J18" i="17"/>
  <c r="I18" i="17"/>
  <c r="H18" i="17"/>
  <c r="F18" i="17"/>
  <c r="E18" i="17"/>
  <c r="D18" i="17"/>
  <c r="C18" i="17"/>
  <c r="B18" i="17"/>
  <c r="M35" i="16" l="1"/>
  <c r="N35" i="16" s="1"/>
  <c r="E35" i="16"/>
  <c r="F35" i="16" s="1"/>
  <c r="G35" i="16" s="1"/>
  <c r="M34" i="16"/>
  <c r="N34" i="16" s="1"/>
  <c r="O34" i="16" s="1"/>
  <c r="E34" i="16"/>
  <c r="F34" i="16" s="1"/>
  <c r="G34" i="16" s="1"/>
  <c r="M33" i="16"/>
  <c r="N33" i="16" s="1"/>
  <c r="O33" i="16" s="1"/>
  <c r="E33" i="16"/>
  <c r="F33" i="16" s="1"/>
  <c r="G33" i="16" s="1"/>
  <c r="M32" i="16"/>
  <c r="N32" i="16" s="1"/>
  <c r="O32" i="16" s="1"/>
  <c r="E32" i="16"/>
  <c r="F32" i="16" s="1"/>
  <c r="G32" i="16" s="1"/>
  <c r="M31" i="16"/>
  <c r="N31" i="16" s="1"/>
  <c r="O31" i="16" s="1"/>
  <c r="E31" i="16"/>
  <c r="F31" i="16" s="1"/>
  <c r="G31" i="16" s="1"/>
  <c r="M30" i="16"/>
  <c r="N30" i="16" s="1"/>
  <c r="O30" i="16" s="1"/>
  <c r="E30" i="16"/>
  <c r="F30" i="16" s="1"/>
  <c r="G30" i="16" s="1"/>
  <c r="M29" i="16"/>
  <c r="N29" i="16" s="1"/>
  <c r="O29" i="16" s="1"/>
  <c r="E29" i="16"/>
  <c r="F29" i="16" s="1"/>
  <c r="G29" i="16" s="1"/>
  <c r="M28" i="16"/>
  <c r="N28" i="16" s="1"/>
  <c r="O28" i="16" s="1"/>
  <c r="E28" i="16"/>
  <c r="F28" i="16" s="1"/>
  <c r="G28" i="16" s="1"/>
  <c r="M27" i="16"/>
  <c r="N27" i="16" s="1"/>
  <c r="O27" i="16" s="1"/>
  <c r="E27" i="16"/>
  <c r="F27" i="16" s="1"/>
  <c r="G27" i="16" s="1"/>
  <c r="M26" i="16"/>
  <c r="N26" i="16" s="1"/>
  <c r="O26" i="16" s="1"/>
  <c r="E26" i="16"/>
  <c r="F26" i="16" s="1"/>
  <c r="G26" i="16" s="1"/>
  <c r="M25" i="16"/>
  <c r="N25" i="16" s="1"/>
  <c r="O25" i="16" s="1"/>
  <c r="E25" i="16"/>
  <c r="F25" i="16" s="1"/>
  <c r="G25" i="16" s="1"/>
  <c r="M24" i="16"/>
  <c r="N24" i="16" s="1"/>
  <c r="O24" i="16" s="1"/>
  <c r="E24" i="16"/>
  <c r="F24" i="16" s="1"/>
  <c r="G24" i="16" s="1"/>
  <c r="M23" i="16"/>
  <c r="N23" i="16" s="1"/>
  <c r="O23" i="16" s="1"/>
  <c r="E23" i="16"/>
  <c r="F23" i="16" s="1"/>
  <c r="G23" i="16" s="1"/>
  <c r="M22" i="16"/>
  <c r="N22" i="16" s="1"/>
  <c r="O22" i="16" s="1"/>
  <c r="E22" i="16"/>
  <c r="F22" i="16" s="1"/>
  <c r="G22" i="16" s="1"/>
  <c r="M21" i="16"/>
  <c r="N21" i="16" s="1"/>
  <c r="O21" i="16" s="1"/>
  <c r="E21" i="16"/>
  <c r="F21" i="16" s="1"/>
  <c r="G21" i="16" s="1"/>
  <c r="M20" i="16"/>
  <c r="N20" i="16" s="1"/>
  <c r="O20" i="16" s="1"/>
  <c r="E20" i="16"/>
  <c r="F20" i="16" s="1"/>
  <c r="G20" i="16" s="1"/>
  <c r="M19" i="16"/>
  <c r="N19" i="16" s="1"/>
  <c r="O19" i="16" s="1"/>
  <c r="E19" i="16"/>
  <c r="F19" i="16" s="1"/>
  <c r="G19" i="16" s="1"/>
  <c r="M18" i="16"/>
  <c r="N18" i="16" s="1"/>
  <c r="O18" i="16" s="1"/>
  <c r="E18" i="16"/>
  <c r="F18" i="16" s="1"/>
  <c r="G18" i="16" s="1"/>
  <c r="M17" i="16"/>
  <c r="N17" i="16" s="1"/>
  <c r="O17" i="16" s="1"/>
  <c r="E17" i="16"/>
  <c r="F17" i="16" s="1"/>
  <c r="G17" i="16" s="1"/>
  <c r="M16" i="16"/>
  <c r="N16" i="16" s="1"/>
  <c r="O16" i="16" s="1"/>
  <c r="E16" i="16"/>
  <c r="F16" i="16" s="1"/>
  <c r="G16" i="16" s="1"/>
  <c r="M15" i="16"/>
  <c r="N15" i="16" s="1"/>
  <c r="O15" i="16" s="1"/>
  <c r="E15" i="16"/>
  <c r="F15" i="16" s="1"/>
  <c r="G15" i="16" s="1"/>
  <c r="M14" i="16"/>
  <c r="N14" i="16" s="1"/>
  <c r="O14" i="16" s="1"/>
  <c r="E14" i="16"/>
  <c r="F14" i="16" s="1"/>
  <c r="G14" i="16" s="1"/>
  <c r="M13" i="16"/>
  <c r="N13" i="16" s="1"/>
  <c r="O13" i="16" s="1"/>
  <c r="E13" i="16"/>
  <c r="F13" i="16" s="1"/>
  <c r="G13" i="16" s="1"/>
  <c r="M12" i="16"/>
  <c r="N12" i="16" s="1"/>
  <c r="O12" i="16" s="1"/>
  <c r="E12" i="16"/>
  <c r="F12" i="16" s="1"/>
  <c r="G12" i="16" s="1"/>
  <c r="M11" i="16"/>
  <c r="N11" i="16" s="1"/>
  <c r="O11" i="16" s="1"/>
  <c r="E11" i="16"/>
  <c r="F11" i="16" s="1"/>
  <c r="G11" i="16" s="1"/>
  <c r="M10" i="16"/>
  <c r="N10" i="16" s="1"/>
  <c r="O10" i="16" s="1"/>
  <c r="E10" i="16"/>
  <c r="F10" i="16" s="1"/>
  <c r="G10" i="16" s="1"/>
  <c r="M9" i="16"/>
  <c r="N9" i="16" s="1"/>
  <c r="O9" i="16" s="1"/>
  <c r="E9" i="16"/>
  <c r="F9" i="16" s="1"/>
  <c r="G9" i="16" s="1"/>
  <c r="M8" i="16"/>
  <c r="N8" i="16" s="1"/>
  <c r="O8" i="16" s="1"/>
  <c r="E8" i="16"/>
  <c r="F8" i="16" s="1"/>
  <c r="G8" i="16" s="1"/>
  <c r="M7" i="16"/>
  <c r="N7" i="16" s="1"/>
  <c r="O7" i="16" s="1"/>
  <c r="E7" i="16"/>
  <c r="F7" i="16" s="1"/>
  <c r="G7" i="16" s="1"/>
  <c r="M6" i="16"/>
  <c r="N6" i="16" s="1"/>
  <c r="O6" i="16" s="1"/>
  <c r="F6" i="16"/>
  <c r="G6" i="16" s="1"/>
  <c r="E6" i="16"/>
  <c r="E69" i="16"/>
  <c r="F69" i="16" s="1"/>
  <c r="G69" i="16" s="1"/>
  <c r="E68" i="16"/>
  <c r="F68" i="16" s="1"/>
  <c r="G68" i="16" s="1"/>
  <c r="E67" i="16"/>
  <c r="F67" i="16" s="1"/>
  <c r="G67" i="16" s="1"/>
  <c r="E66" i="16"/>
  <c r="F66" i="16" s="1"/>
  <c r="G66" i="16" s="1"/>
  <c r="E65" i="16"/>
  <c r="F65" i="16" s="1"/>
  <c r="G65" i="16" s="1"/>
  <c r="E64" i="16"/>
  <c r="F64" i="16" s="1"/>
  <c r="G64" i="16" s="1"/>
  <c r="E63" i="16"/>
  <c r="F63" i="16" s="1"/>
  <c r="G63" i="16" s="1"/>
  <c r="E62" i="16"/>
  <c r="F62" i="16" s="1"/>
  <c r="G62" i="16" s="1"/>
  <c r="E61" i="16"/>
  <c r="F61" i="16" s="1"/>
  <c r="G61" i="16" s="1"/>
  <c r="E60" i="16"/>
  <c r="F60" i="16" s="1"/>
  <c r="G60" i="16" s="1"/>
  <c r="E59" i="16"/>
  <c r="F59" i="16" s="1"/>
  <c r="G59" i="16" s="1"/>
  <c r="E58" i="16"/>
  <c r="F58" i="16" s="1"/>
  <c r="G58" i="16" s="1"/>
  <c r="E57" i="16"/>
  <c r="F57" i="16" s="1"/>
  <c r="G57" i="16" s="1"/>
  <c r="E56" i="16"/>
  <c r="F56" i="16" s="1"/>
  <c r="G56" i="16" s="1"/>
  <c r="E55" i="16"/>
  <c r="F55" i="16" s="1"/>
  <c r="G55" i="16" s="1"/>
  <c r="E54" i="16"/>
  <c r="F54" i="16" s="1"/>
  <c r="G54" i="16" s="1"/>
  <c r="E53" i="16"/>
  <c r="F53" i="16" s="1"/>
  <c r="G53" i="16" s="1"/>
  <c r="E52" i="16"/>
  <c r="F52" i="16" s="1"/>
  <c r="G52" i="16" s="1"/>
  <c r="E51" i="16"/>
  <c r="F51" i="16" s="1"/>
  <c r="G51" i="16" s="1"/>
  <c r="E50" i="16"/>
  <c r="F50" i="16" s="1"/>
  <c r="G50" i="16" s="1"/>
  <c r="E49" i="16"/>
  <c r="F49" i="16" s="1"/>
  <c r="G49" i="16" s="1"/>
  <c r="E48" i="16"/>
  <c r="F48" i="16" s="1"/>
  <c r="G48" i="16" s="1"/>
  <c r="E47" i="16"/>
  <c r="F47" i="16" s="1"/>
  <c r="G47" i="16" s="1"/>
  <c r="E46" i="16"/>
  <c r="F46" i="16" s="1"/>
  <c r="G46" i="16" s="1"/>
  <c r="E45" i="16"/>
  <c r="F45" i="16" s="1"/>
  <c r="G45" i="16" s="1"/>
  <c r="E44" i="16"/>
  <c r="F44" i="16" s="1"/>
  <c r="G44" i="16" s="1"/>
  <c r="E43" i="16"/>
  <c r="F43" i="16" s="1"/>
  <c r="G43" i="16" s="1"/>
  <c r="E42" i="16"/>
  <c r="F42" i="16" s="1"/>
  <c r="G42" i="16" s="1"/>
  <c r="E41" i="16"/>
  <c r="F41" i="16" s="1"/>
  <c r="G41" i="16" s="1"/>
  <c r="E40" i="16"/>
  <c r="F40" i="16" s="1"/>
  <c r="G40" i="16" s="1"/>
  <c r="A66" i="14" l="1"/>
  <c r="A96" i="14" s="1"/>
  <c r="B96" i="14"/>
  <c r="B14" i="4" l="1"/>
  <c r="B12" i="4"/>
  <c r="E19" i="9" l="1"/>
  <c r="E18" i="9"/>
  <c r="E17" i="9"/>
  <c r="E16" i="9"/>
  <c r="E15" i="9"/>
  <c r="E14" i="9"/>
  <c r="E9" i="9"/>
  <c r="G9" i="9" s="1"/>
  <c r="E8" i="9"/>
  <c r="G8" i="9" s="1"/>
  <c r="E7" i="9"/>
  <c r="G7" i="9" s="1"/>
  <c r="E6" i="9"/>
  <c r="G6" i="9" s="1"/>
  <c r="E5" i="9"/>
  <c r="G5" i="9" s="1"/>
  <c r="E4" i="9"/>
  <c r="B34" i="3" l="1"/>
  <c r="B33" i="3"/>
  <c r="B32" i="3"/>
  <c r="B31" i="3"/>
  <c r="B24" i="3"/>
  <c r="B29" i="3"/>
  <c r="B28" i="3"/>
  <c r="B27" i="3"/>
  <c r="B26" i="3"/>
  <c r="B23" i="3"/>
  <c r="B21" i="3"/>
  <c r="B20" i="3"/>
  <c r="B19" i="3"/>
  <c r="B29" i="1"/>
  <c r="B33" i="1"/>
  <c r="B32" i="1"/>
  <c r="B31" i="1"/>
  <c r="B30" i="1"/>
  <c r="B28" i="1"/>
  <c r="B27" i="1"/>
</calcChain>
</file>

<file path=xl/sharedStrings.xml><?xml version="1.0" encoding="utf-8"?>
<sst xmlns="http://schemas.openxmlformats.org/spreadsheetml/2006/main" count="1574" uniqueCount="544">
  <si>
    <t>DMSO</t>
  </si>
  <si>
    <t>JQ1</t>
  </si>
  <si>
    <t>CPi637</t>
  </si>
  <si>
    <t>JQ1+CPi637</t>
  </si>
  <si>
    <t>NEO2734</t>
  </si>
  <si>
    <t>Sample 1</t>
  </si>
  <si>
    <t>Sample 2</t>
  </si>
  <si>
    <t>Sample 3</t>
  </si>
  <si>
    <t>Sample 4</t>
  </si>
  <si>
    <t>Sample 5</t>
  </si>
  <si>
    <t>Sample 6</t>
  </si>
  <si>
    <t>Sample 7</t>
  </si>
  <si>
    <t>Sample 8</t>
  </si>
  <si>
    <t>Sample 9</t>
  </si>
  <si>
    <t>Sample 10</t>
  </si>
  <si>
    <t>Sample 11</t>
  </si>
  <si>
    <t>Sample 12</t>
  </si>
  <si>
    <t>Sample 13</t>
  </si>
  <si>
    <t>Sample 14</t>
  </si>
  <si>
    <t>Sample 15</t>
  </si>
  <si>
    <t>T. Test</t>
  </si>
  <si>
    <t>Group 1</t>
  </si>
  <si>
    <t>Group 2</t>
  </si>
  <si>
    <t>Group 3</t>
  </si>
  <si>
    <t>Group 4</t>
  </si>
  <si>
    <t>Group 5</t>
  </si>
  <si>
    <t>Group 6</t>
  </si>
  <si>
    <t>Group 7</t>
  </si>
  <si>
    <t>Group 8</t>
  </si>
  <si>
    <t>Group 9</t>
  </si>
  <si>
    <t>Group 10</t>
  </si>
  <si>
    <t>EV</t>
  </si>
  <si>
    <t>F133V</t>
  </si>
  <si>
    <t>Q165P</t>
  </si>
  <si>
    <t>Group 1 vs Group 2</t>
  </si>
  <si>
    <t>Group 1 vs Group 3</t>
  </si>
  <si>
    <t>Group 1 vs Group 4</t>
  </si>
  <si>
    <t>Group 1 vs Group 5</t>
  </si>
  <si>
    <t>Group 6 vs Group 7</t>
  </si>
  <si>
    <t>Group 6 vs Group 8</t>
  </si>
  <si>
    <t>Group 6 vs Group 9</t>
  </si>
  <si>
    <t>Group 6 vs Group 10</t>
  </si>
  <si>
    <t>Group 1 vs Group 6</t>
  </si>
  <si>
    <t>Group 11</t>
  </si>
  <si>
    <t>Group 12</t>
  </si>
  <si>
    <t>Group 13</t>
  </si>
  <si>
    <t>Group 14</t>
  </si>
  <si>
    <t>Group 15</t>
  </si>
  <si>
    <t>Group 11 vs Group 12</t>
  </si>
  <si>
    <t>Group 11 vs Group 13</t>
  </si>
  <si>
    <t>Group 11 vs Group 14</t>
  </si>
  <si>
    <t>Group 11 vs Group 15</t>
  </si>
  <si>
    <t>Group 1 vs Group 11</t>
  </si>
  <si>
    <t>Day 0</t>
  </si>
  <si>
    <t>Day 3</t>
  </si>
  <si>
    <t>Day 7</t>
  </si>
  <si>
    <t>Day 10</t>
  </si>
  <si>
    <t>Day 14</t>
  </si>
  <si>
    <t>Day 17</t>
  </si>
  <si>
    <t>Day 21</t>
  </si>
  <si>
    <t>Tumor 1</t>
  </si>
  <si>
    <t>Tumor 2</t>
  </si>
  <si>
    <t>Tumor 3</t>
  </si>
  <si>
    <t>Tumor 4</t>
  </si>
  <si>
    <t>Tumor 5</t>
  </si>
  <si>
    <t>Tumor 6</t>
  </si>
  <si>
    <t>EV + Vehicle</t>
  </si>
  <si>
    <t>EV + JQ1</t>
  </si>
  <si>
    <t>EV + NEO2734</t>
  </si>
  <si>
    <t>F133V + NEO2734</t>
  </si>
  <si>
    <t>E-Cadherin</t>
  </si>
  <si>
    <t>Normalized value</t>
  </si>
  <si>
    <t>Lane 1</t>
  </si>
  <si>
    <t>Lane 2</t>
  </si>
  <si>
    <t>Lane 3</t>
  </si>
  <si>
    <t>Lane 4</t>
  </si>
  <si>
    <t>Lane 5</t>
  </si>
  <si>
    <t>Lane 6</t>
  </si>
  <si>
    <t>Blank</t>
  </si>
  <si>
    <r>
      <rPr>
        <sz val="11"/>
        <color theme="1"/>
        <rFont val="Arial"/>
        <family val="2"/>
      </rPr>
      <t>β</t>
    </r>
    <r>
      <rPr>
        <sz val="11"/>
        <color theme="1"/>
        <rFont val="Calibri"/>
        <family val="2"/>
        <scheme val="minor"/>
      </rPr>
      <t>-Tubulin</t>
    </r>
  </si>
  <si>
    <t xml:space="preserve"> </t>
  </si>
  <si>
    <t>Area</t>
  </si>
  <si>
    <t>Mean</t>
  </si>
  <si>
    <t>StdDev</t>
  </si>
  <si>
    <t>IntDen</t>
  </si>
  <si>
    <t>%Area</t>
  </si>
  <si>
    <t>RawIntDen</t>
  </si>
  <si>
    <t>MinThr</t>
  </si>
  <si>
    <t>MaxThr</t>
  </si>
  <si>
    <t>WT</t>
  </si>
  <si>
    <t>Q165P + Vehicle</t>
  </si>
  <si>
    <t>Q165P + JQ1</t>
  </si>
  <si>
    <t>Q165P + NEO2734</t>
  </si>
  <si>
    <t>F133V + Vehicle</t>
  </si>
  <si>
    <t>F133V + JQ1</t>
  </si>
  <si>
    <r>
      <t>1/(2^</t>
    </r>
    <r>
      <rPr>
        <b/>
        <sz val="10"/>
        <rFont val="Symbol"/>
        <family val="1"/>
      </rPr>
      <t>D</t>
    </r>
    <r>
      <rPr>
        <b/>
        <sz val="10"/>
        <rFont val="Arial"/>
        <family val="2"/>
      </rPr>
      <t>CT) X</t>
    </r>
  </si>
  <si>
    <t>ChIP: BRD4</t>
  </si>
  <si>
    <r>
      <t>1/(2^</t>
    </r>
    <r>
      <rPr>
        <b/>
        <sz val="10"/>
        <rFont val="Symbol"/>
        <family val="1"/>
      </rPr>
      <t>D</t>
    </r>
    <r>
      <rPr>
        <b/>
        <sz val="10"/>
        <rFont val="Arial"/>
        <family val="2"/>
      </rPr>
      <t>CT)</t>
    </r>
  </si>
  <si>
    <t>IgG</t>
  </si>
  <si>
    <t>Input</t>
  </si>
  <si>
    <t>Average</t>
  </si>
  <si>
    <t>DU145-DMSO</t>
  </si>
  <si>
    <t>DU145-JQ1</t>
  </si>
  <si>
    <t>DU145-EP06</t>
  </si>
  <si>
    <t>C4-2-DMSO</t>
  </si>
  <si>
    <t>C4-2-JQ1</t>
  </si>
  <si>
    <t>C4-2-CPi637</t>
  </si>
  <si>
    <t>C4-2-JQ1+CPi637</t>
  </si>
  <si>
    <t>C4-2-EP06</t>
  </si>
  <si>
    <t>ChIP: IgG</t>
  </si>
  <si>
    <t>EP06</t>
  </si>
  <si>
    <t>0 uM</t>
  </si>
  <si>
    <t>250 cells\ well</t>
  </si>
  <si>
    <t>0.125 uM</t>
  </si>
  <si>
    <t>0.25 uM</t>
  </si>
  <si>
    <t>0.5 uM</t>
  </si>
  <si>
    <t>1.0 uM</t>
  </si>
  <si>
    <t>500 cells\ well</t>
  </si>
  <si>
    <t>2.0 uM</t>
  </si>
  <si>
    <t>4.0 uM</t>
  </si>
  <si>
    <t>1000 cells\ well</t>
  </si>
  <si>
    <t>8.0 uM</t>
  </si>
  <si>
    <t>2000 cells\ well</t>
  </si>
  <si>
    <t>EV DMSO vs NEO2734</t>
  </si>
  <si>
    <t>F133V DMSO vs NEO2735</t>
  </si>
  <si>
    <t>EV DMSO vs F133V DMSO</t>
  </si>
  <si>
    <t>1st measurement</t>
  </si>
  <si>
    <t>Vehicle</t>
  </si>
  <si>
    <t>CPi637 + JQ1</t>
  </si>
  <si>
    <t>2nd measurement</t>
  </si>
  <si>
    <t>3rd measurement</t>
  </si>
  <si>
    <t>4th measurement</t>
  </si>
  <si>
    <t>5th measurement</t>
  </si>
  <si>
    <t>6th measurement</t>
  </si>
  <si>
    <t>7th measurement</t>
  </si>
  <si>
    <t>T.Test</t>
  </si>
  <si>
    <t>SPOP WT Vehicle versus JQ1</t>
  </si>
  <si>
    <t>SPOP WT Vehicle versus Q165P Vehicle</t>
  </si>
  <si>
    <t>Q165P JQ1 versus NEO2734</t>
  </si>
  <si>
    <t>Q165P CPi637 versus NEO2735</t>
  </si>
  <si>
    <t>GAPDH</t>
  </si>
  <si>
    <t>NK3.1</t>
  </si>
  <si>
    <t>NKX3.1</t>
  </si>
  <si>
    <t>WT-Vehicle</t>
  </si>
  <si>
    <t>WT-JQ1</t>
  </si>
  <si>
    <t>WT-CPi637</t>
  </si>
  <si>
    <t>WT-JQ1+CPi637</t>
  </si>
  <si>
    <t>WT-EP06</t>
  </si>
  <si>
    <t>Q165P-Vehicle</t>
  </si>
  <si>
    <t>Q165P-JQ1</t>
  </si>
  <si>
    <t>Q165P-CPi637</t>
  </si>
  <si>
    <t>Q165P-JQ1+CPi637</t>
  </si>
  <si>
    <t>Q165P-EP06</t>
  </si>
  <si>
    <t>PSA</t>
  </si>
  <si>
    <t>ΔPSA GAPDH</t>
  </si>
  <si>
    <t>TRMPSS2</t>
  </si>
  <si>
    <t>ΔTMPRSS2 GAPDH</t>
  </si>
  <si>
    <t>TMPRSS2</t>
  </si>
  <si>
    <t>Average GADPD</t>
  </si>
  <si>
    <t>WT (Vehicle) vs WT (JQ1)</t>
  </si>
  <si>
    <t>WT (Vehicle) vs WT (CPI637)</t>
  </si>
  <si>
    <t>WT (Vehicle) vs WT (JQ1+CPI637)</t>
  </si>
  <si>
    <t>WT (Vehicle) vs WT (NEO2734)</t>
  </si>
  <si>
    <t>Q165P (Vehicle) vs Q165P  (JQ1)</t>
  </si>
  <si>
    <t>Q165P  (Vehicle) vs Q165P  (CPI637)</t>
  </si>
  <si>
    <t>Q165P (Vehicle) vs Q165P (JQ1+CPI637)</t>
  </si>
  <si>
    <t>Q165P  (Vehicle) vs Q165P  (NEO2734)</t>
  </si>
  <si>
    <t>Cell No.</t>
  </si>
  <si>
    <t>Field 1</t>
  </si>
  <si>
    <t>5/29</t>
  </si>
  <si>
    <t>6/18</t>
  </si>
  <si>
    <t>7/19</t>
  </si>
  <si>
    <t>3/8</t>
  </si>
  <si>
    <t>7/11</t>
  </si>
  <si>
    <t>7/34</t>
  </si>
  <si>
    <t>3/13</t>
  </si>
  <si>
    <t>5/18</t>
  </si>
  <si>
    <t>6/13</t>
  </si>
  <si>
    <t>4/6</t>
  </si>
  <si>
    <t>Field 2</t>
  </si>
  <si>
    <t>4/31</t>
  </si>
  <si>
    <t>9/21</t>
  </si>
  <si>
    <t>4/15</t>
  </si>
  <si>
    <t>3/7</t>
  </si>
  <si>
    <t>4/8</t>
  </si>
  <si>
    <t>6/35</t>
  </si>
  <si>
    <t>4/20</t>
  </si>
  <si>
    <t>6/21</t>
  </si>
  <si>
    <t>6/12</t>
  </si>
  <si>
    <t>4/7</t>
  </si>
  <si>
    <t>Field 3</t>
  </si>
  <si>
    <t>2/27</t>
  </si>
  <si>
    <t>8/22</t>
  </si>
  <si>
    <t>4/17</t>
  </si>
  <si>
    <t>4/10</t>
  </si>
  <si>
    <t>5/31</t>
  </si>
  <si>
    <t>5/20</t>
  </si>
  <si>
    <t>5/11</t>
  </si>
  <si>
    <t>5/9</t>
  </si>
  <si>
    <t>Field 4</t>
  </si>
  <si>
    <t>3/24</t>
  </si>
  <si>
    <t>7/24</t>
  </si>
  <si>
    <t>2/10</t>
  </si>
  <si>
    <t>5/13</t>
  </si>
  <si>
    <t>5/10</t>
  </si>
  <si>
    <t>3/25</t>
  </si>
  <si>
    <t>3/19</t>
  </si>
  <si>
    <t>6/15</t>
  </si>
  <si>
    <t>Field 5</t>
  </si>
  <si>
    <t>1/18</t>
  </si>
  <si>
    <t>11/28</t>
  </si>
  <si>
    <t>5/12</t>
  </si>
  <si>
    <t>4/28</t>
  </si>
  <si>
    <t>4/27</t>
  </si>
  <si>
    <t>7/16</t>
  </si>
  <si>
    <t>7/14</t>
  </si>
  <si>
    <t>Field 6</t>
  </si>
  <si>
    <t>9/19</t>
  </si>
  <si>
    <t>5/24</t>
  </si>
  <si>
    <t>4/9</t>
  </si>
  <si>
    <t>4/30</t>
  </si>
  <si>
    <t>5/26</t>
  </si>
  <si>
    <t>5/17</t>
  </si>
  <si>
    <t>3/9</t>
  </si>
  <si>
    <t>Field 7</t>
  </si>
  <si>
    <t>4/21</t>
  </si>
  <si>
    <t>5/15</t>
  </si>
  <si>
    <t>3/20</t>
  </si>
  <si>
    <t>2/7</t>
  </si>
  <si>
    <t>6/27</t>
  </si>
  <si>
    <t>5/8</t>
  </si>
  <si>
    <t>Field 8</t>
  </si>
  <si>
    <t>2/19</t>
  </si>
  <si>
    <t>7/28</t>
  </si>
  <si>
    <t>6/11</t>
  </si>
  <si>
    <t>5/19</t>
  </si>
  <si>
    <t>5/23</t>
  </si>
  <si>
    <t>4/14</t>
  </si>
  <si>
    <t>Field 9</t>
  </si>
  <si>
    <t>5/28</t>
  </si>
  <si>
    <t>6/25</t>
  </si>
  <si>
    <t>7/18</t>
  </si>
  <si>
    <t>4/26</t>
  </si>
  <si>
    <t>7/25</t>
  </si>
  <si>
    <t>3/5</t>
  </si>
  <si>
    <t>Field 10</t>
  </si>
  <si>
    <t>2/21</t>
  </si>
  <si>
    <t>3/22</t>
  </si>
  <si>
    <t>3/12</t>
  </si>
  <si>
    <t>Percentage</t>
  </si>
  <si>
    <t>4/32</t>
  </si>
  <si>
    <t>2/11</t>
  </si>
  <si>
    <t>2/8</t>
  </si>
  <si>
    <t>4/35</t>
  </si>
  <si>
    <t>3/23</t>
  </si>
  <si>
    <t>2/14</t>
  </si>
  <si>
    <t>2/15</t>
  </si>
  <si>
    <t>3/21</t>
  </si>
  <si>
    <t>3/16</t>
  </si>
  <si>
    <t>2/13</t>
  </si>
  <si>
    <t>3/17</t>
  </si>
  <si>
    <t>1/7</t>
  </si>
  <si>
    <t>3/18</t>
  </si>
  <si>
    <t>2/16</t>
  </si>
  <si>
    <t>6/28</t>
  </si>
  <si>
    <t>1/5</t>
  </si>
  <si>
    <t>2/9</t>
  </si>
  <si>
    <t>4/22</t>
  </si>
  <si>
    <t>5/25</t>
  </si>
  <si>
    <t>4/23</t>
  </si>
  <si>
    <t>0/6</t>
  </si>
  <si>
    <t>3/27</t>
  </si>
  <si>
    <t>3/15</t>
  </si>
  <si>
    <t>1/8</t>
  </si>
  <si>
    <t>6/31</t>
  </si>
  <si>
    <t>2/12</t>
  </si>
  <si>
    <t>1/9</t>
  </si>
  <si>
    <t>6/30</t>
  </si>
  <si>
    <t>4/25</t>
  </si>
  <si>
    <t>1/6</t>
  </si>
  <si>
    <t>2/25</t>
  </si>
  <si>
    <t>4/24</t>
  </si>
  <si>
    <t>2/17</t>
  </si>
  <si>
    <t>5/27</t>
  </si>
  <si>
    <t>4/19</t>
  </si>
  <si>
    <t>5/21</t>
  </si>
  <si>
    <t>WT (DMSO) vs WT (JQ1)</t>
  </si>
  <si>
    <t>WT (DMSO) vs WT (CPI637)</t>
  </si>
  <si>
    <t>WT (DMSO) vs WT (JQ1+CPI637)</t>
  </si>
  <si>
    <t>WT (DMSO) vs WT (NEO2734)</t>
  </si>
  <si>
    <t>Q165P (DMSO) vs Q165P  (JQ1)</t>
  </si>
  <si>
    <t>Q165P  (DMSO) vs Q165P  (CPI637)</t>
  </si>
  <si>
    <t>Q165P (DMSO) vs Q165P (JQ1+CPI637)</t>
  </si>
  <si>
    <t>Q165P  (DMSO) vs Q165P  (NEO2734)</t>
  </si>
  <si>
    <t>3/29</t>
  </si>
  <si>
    <t>WT (DMSO) vs Q165P (DMSO)</t>
  </si>
  <si>
    <t>ANOVA summary</t>
  </si>
  <si>
    <t>F</t>
  </si>
  <si>
    <t>P value</t>
  </si>
  <si>
    <t>P value summary</t>
  </si>
  <si>
    <t>ns</t>
  </si>
  <si>
    <t>Significant diff. among means (P &lt; 0.05)?</t>
  </si>
  <si>
    <t>No</t>
  </si>
  <si>
    <t>R square</t>
  </si>
  <si>
    <t>WT groups (DMSO, JQ1, CPi637, JQ1+CPi637, NEO2734</t>
  </si>
  <si>
    <t>Q165P groups (DMSO, JQ1, CPi637, JQ1+CPi637, NEO2734</t>
  </si>
  <si>
    <t>BM1 +DMSO</t>
  </si>
  <si>
    <t>BM1 +JQ1</t>
  </si>
  <si>
    <t>BM1 + CPi637</t>
  </si>
  <si>
    <t>BM1 + JQ1 +CPi637</t>
  </si>
  <si>
    <t>BM1 + NEO2634</t>
  </si>
  <si>
    <t>BM5 +DMSO</t>
  </si>
  <si>
    <t>BM5 +JQ1</t>
  </si>
  <si>
    <t>BM5 + CPi637</t>
  </si>
  <si>
    <t>BM5 + JQ1 +CPi637</t>
  </si>
  <si>
    <t>BM5 + NEO2634</t>
  </si>
  <si>
    <t>ST1 +DMSO</t>
  </si>
  <si>
    <t>ST1 +JQ1</t>
  </si>
  <si>
    <t>ST1 + CPi637</t>
  </si>
  <si>
    <t>ST1 + JQ1 +CPi637</t>
  </si>
  <si>
    <t>ST1 + NEO2634</t>
  </si>
  <si>
    <t>WT +DMSO</t>
  </si>
  <si>
    <t>WT +JQ1</t>
  </si>
  <si>
    <t>WT + CPi637</t>
  </si>
  <si>
    <t>WT + JQ1 +CPi637</t>
  </si>
  <si>
    <t>WT + NEO2634</t>
  </si>
  <si>
    <t>Q165P +DMSO</t>
  </si>
  <si>
    <t>Q165P +JQ1</t>
  </si>
  <si>
    <t>Q165P + CPi637</t>
  </si>
  <si>
    <t>Q165P + JQ1 +CPi637</t>
  </si>
  <si>
    <t>Q165P + NEO2634</t>
  </si>
  <si>
    <t>ASC1 +DMSO</t>
  </si>
  <si>
    <t>ASC1 +JQ1</t>
  </si>
  <si>
    <t>ASC1 + CPi637</t>
  </si>
  <si>
    <t>ASC1 + JQ1 +CPi637</t>
  </si>
  <si>
    <t>ASC1 + NEO2634</t>
  </si>
  <si>
    <t>BM1  JQ1+CPi637 vs NEO2734</t>
  </si>
  <si>
    <t>BM1  DMSO (n=49) vs JQ1 (n=48)</t>
  </si>
  <si>
    <t>BM1  DMSO (n=49) vsCPi637 (n=48)</t>
  </si>
  <si>
    <t>BM1  DMSO vsJQ1+CPi637 (n=52)</t>
  </si>
  <si>
    <t>BM1  DMSO vs NEO2734 (n=42)</t>
  </si>
  <si>
    <t>BM5  DMSO (n=52) vs JQ1 (n=50)</t>
  </si>
  <si>
    <t>BM5  DMSO vsCPi637 (n=52)</t>
  </si>
  <si>
    <t>BM5  DMSO vsJQ1+CPi637 (n=49)</t>
  </si>
  <si>
    <t>BM5  DMSO vs NEO2734 (n=43)</t>
  </si>
  <si>
    <t>ST1  DMSO vsCPi637 (n=47)</t>
  </si>
  <si>
    <t>ST1  DMSO vsJQ1+CPi637 (n=47)</t>
  </si>
  <si>
    <t>ST1  DMSO vs NEO2734 (n=52)</t>
  </si>
  <si>
    <t>313HR  DMSO (n=50)vs JQ1 (n=48)</t>
  </si>
  <si>
    <t>313HR  DMSO vsCPi637  (n=48)</t>
  </si>
  <si>
    <t>313HR  DMSO vsJQ1+CPi637  (n=50)</t>
  </si>
  <si>
    <t>313HR DMSO vs NEO2734  (n=44)</t>
  </si>
  <si>
    <t>573R  DMSO  (n=52)vs JQ1 (n=52)</t>
  </si>
  <si>
    <t>573R  DMSO vsCPi637  (n=53)</t>
  </si>
  <si>
    <t>573R   DMSO vsJQ1+CPi637  (n=53)</t>
  </si>
  <si>
    <t>573R  DMSO vs NEO2734  (n=45)</t>
  </si>
  <si>
    <t>ASC1 DMSO vs NEO2734(n=38)</t>
  </si>
  <si>
    <t>ASC1 DMSO vsJQ1+CPi637(n=50)</t>
  </si>
  <si>
    <t>ASC1  DMSO vsCPi637 (n=52)</t>
  </si>
  <si>
    <t>ASC1 DMSO (n=50) vs JQ1 (n=52)</t>
  </si>
  <si>
    <t xml:space="preserve">BM5  JQ1+CPi637 vs NEO2734 </t>
  </si>
  <si>
    <t>ST1  JQ1+CPi637 vs NEO2734</t>
  </si>
  <si>
    <t>313HR JQ1+CPi637 vs NEO2734</t>
  </si>
  <si>
    <t xml:space="preserve">573R  JQ1+CPi637 vs NEO2734 </t>
  </si>
  <si>
    <t>ASC1  JQ1+CPi637 vs NEO2734</t>
  </si>
  <si>
    <t>Group 4 vs Group 5</t>
  </si>
  <si>
    <t>Group 9 vs Group 10</t>
  </si>
  <si>
    <t>Group 14 vs Group 15</t>
  </si>
  <si>
    <t>EV (DMSO) vs EV (NEO2734)</t>
  </si>
  <si>
    <t>Q165P (DMSO) vs Q165P (NEO2734)</t>
  </si>
  <si>
    <t>F133V (DMSO) vs F133V (NEO2734)</t>
  </si>
  <si>
    <t>EV (DMSO) vs Q165P (DMSO)</t>
  </si>
  <si>
    <t>EV (DMSO) vs F133V (DMSO)</t>
  </si>
  <si>
    <t>F133V  + JQ1</t>
  </si>
  <si>
    <t>F133V  + NEO2734</t>
  </si>
  <si>
    <t>Q165P   + JQ1</t>
  </si>
  <si>
    <t>Q165P   + NEO2734</t>
  </si>
  <si>
    <t>EV (Vehicle) + EV (JQ1)</t>
  </si>
  <si>
    <t>Q165P (Vehicle) + Q165P (JQ1)</t>
  </si>
  <si>
    <t>F133V (Vehicle) + F133V (JQ1)</t>
  </si>
  <si>
    <t>EV (JQ1) + EV (NEO2734)</t>
  </si>
  <si>
    <t>Q165P (JQ1) + Q165P (NEO2734)</t>
  </si>
  <si>
    <t>F133V (JQ1) + F133V (NEO2734)</t>
  </si>
  <si>
    <t>Myc enhancer</t>
  </si>
  <si>
    <t>Δmyc enhancer-Input</t>
  </si>
  <si>
    <t>RAC1</t>
  </si>
  <si>
    <t>ΔRAC1-Input</t>
  </si>
  <si>
    <t>C4-2 (DMSO) + C4-2 (JQ1)</t>
  </si>
  <si>
    <t>C4-2 (JQ1+CPi637) + C4-2 (NEO2734)</t>
  </si>
  <si>
    <t>DU145 (DMSO) + DU145 (JQ1)</t>
  </si>
  <si>
    <t>DU145 (JQ1+CPi637) + DU145(NEO2734)</t>
  </si>
  <si>
    <t>C4-2 (DMSO) + C4-2 (CPi637)</t>
  </si>
  <si>
    <t>DU145 (DMSO) + DU145 (CPi637)</t>
  </si>
  <si>
    <t>Intensity</t>
  </si>
  <si>
    <t>IHC score</t>
  </si>
  <si>
    <t>SPOP mutations</t>
  </si>
  <si>
    <t>W131G</t>
  </si>
  <si>
    <t>F102C</t>
  </si>
  <si>
    <t>Patient 1</t>
  </si>
  <si>
    <t>Patient 2</t>
  </si>
  <si>
    <t>Patient 3</t>
  </si>
  <si>
    <t>Patient 4</t>
  </si>
  <si>
    <t>Patient 5</t>
  </si>
  <si>
    <t>Patient 6</t>
  </si>
  <si>
    <t>Patient 7</t>
  </si>
  <si>
    <t>Patient 8</t>
  </si>
  <si>
    <t>Patient 9</t>
  </si>
  <si>
    <t>Patient 10</t>
  </si>
  <si>
    <t>Patient 11</t>
  </si>
  <si>
    <t>Patient 12</t>
  </si>
  <si>
    <t>Patient 13</t>
  </si>
  <si>
    <t>Patient 14</t>
  </si>
  <si>
    <t>Patient 15</t>
  </si>
  <si>
    <t>Patient 16</t>
  </si>
  <si>
    <t>Patient 17</t>
  </si>
  <si>
    <t>Patient 18</t>
  </si>
  <si>
    <t>Patient 19</t>
  </si>
  <si>
    <t>Patient 20</t>
  </si>
  <si>
    <t>Patient 21</t>
  </si>
  <si>
    <t>Patient 22</t>
  </si>
  <si>
    <t>Patient 23</t>
  </si>
  <si>
    <t>Patient 24</t>
  </si>
  <si>
    <t>Patient 25</t>
  </si>
  <si>
    <t>Patient 26</t>
  </si>
  <si>
    <t>Patient 27</t>
  </si>
  <si>
    <t>Patient 28</t>
  </si>
  <si>
    <t>Patient 29</t>
  </si>
  <si>
    <t>Patient 30</t>
  </si>
  <si>
    <t>Patient 31</t>
  </si>
  <si>
    <t>Patient 32</t>
  </si>
  <si>
    <t>Patient 33</t>
  </si>
  <si>
    <t>Patient 34</t>
  </si>
  <si>
    <t>Patient 35</t>
  </si>
  <si>
    <t>Patient 36</t>
  </si>
  <si>
    <t>Patient 37</t>
  </si>
  <si>
    <t>Patient 38</t>
  </si>
  <si>
    <t>Patient 39</t>
  </si>
  <si>
    <t>Patient 40</t>
  </si>
  <si>
    <t>Patient 41</t>
  </si>
  <si>
    <t>Patient 42</t>
  </si>
  <si>
    <t>Patient 43</t>
  </si>
  <si>
    <t>Patient 44</t>
  </si>
  <si>
    <t>Patient 45</t>
  </si>
  <si>
    <t>Patient 46</t>
  </si>
  <si>
    <t>Patient 47</t>
  </si>
  <si>
    <t>Patient 48</t>
  </si>
  <si>
    <t>Patient 49</t>
  </si>
  <si>
    <t>Patient 50</t>
  </si>
  <si>
    <t>Patient 51</t>
  </si>
  <si>
    <t>Patient 52</t>
  </si>
  <si>
    <t>Patient 53</t>
  </si>
  <si>
    <t>Patient 54</t>
  </si>
  <si>
    <t>Patient 55</t>
  </si>
  <si>
    <t>Patient 56</t>
  </si>
  <si>
    <t>Patient 57</t>
  </si>
  <si>
    <t>Patient 58</t>
  </si>
  <si>
    <t>Patient 59</t>
  </si>
  <si>
    <t>Patient 60</t>
  </si>
  <si>
    <t>Patient 61</t>
  </si>
  <si>
    <t>Patient 62</t>
  </si>
  <si>
    <t>Patient 63</t>
  </si>
  <si>
    <t>Patient 64</t>
  </si>
  <si>
    <t>Patient 65</t>
  </si>
  <si>
    <t>Patient 66</t>
  </si>
  <si>
    <t>Patient 67</t>
  </si>
  <si>
    <t>Patient 68</t>
  </si>
  <si>
    <t>Patient 69</t>
  </si>
  <si>
    <t>Patient 70</t>
  </si>
  <si>
    <t>Patient 71</t>
  </si>
  <si>
    <t>Patient 72</t>
  </si>
  <si>
    <t>Patient 73</t>
  </si>
  <si>
    <t>Patient 74</t>
  </si>
  <si>
    <t>Patient 75</t>
  </si>
  <si>
    <t>Patient 76</t>
  </si>
  <si>
    <t>Patient 77</t>
  </si>
  <si>
    <t>Patient 78</t>
  </si>
  <si>
    <t>Patient 79</t>
  </si>
  <si>
    <t>Patient 80</t>
  </si>
  <si>
    <t>Patient 81</t>
  </si>
  <si>
    <t>Patient 82</t>
  </si>
  <si>
    <t>Patient 83</t>
  </si>
  <si>
    <t>Patient 84</t>
  </si>
  <si>
    <t>Patient 85</t>
  </si>
  <si>
    <t>SPOP MUT Patient ID</t>
  </si>
  <si>
    <t>SPOP WT Patient ID</t>
  </si>
  <si>
    <t>Group 5 vs Group 10</t>
  </si>
  <si>
    <t>Ki67 positive cells</t>
  </si>
  <si>
    <t>Cleaved Caspase-3 positive cells</t>
  </si>
  <si>
    <t>Percentage (%)</t>
  </si>
  <si>
    <t>IHC Score</t>
  </si>
  <si>
    <t xml:space="preserve">PDX </t>
  </si>
  <si>
    <t xml:space="preserve">WT </t>
  </si>
  <si>
    <t>CRPC</t>
  </si>
  <si>
    <t>4520977-01</t>
  </si>
  <si>
    <t>4520977-02</t>
  </si>
  <si>
    <t>125 cells\ well</t>
  </si>
  <si>
    <t>1 uM</t>
  </si>
  <si>
    <t>2 uM</t>
  </si>
  <si>
    <t>4 uM</t>
  </si>
  <si>
    <t>8 uM</t>
  </si>
  <si>
    <t>Normalized OD value</t>
  </si>
  <si>
    <t>CPI-637</t>
  </si>
  <si>
    <t>JQ1+CPI-637</t>
  </si>
  <si>
    <t>Colony No.</t>
  </si>
  <si>
    <t>Normalize survival fraction</t>
  </si>
  <si>
    <t>Survival efficiency</t>
  </si>
  <si>
    <t>Experiment 1</t>
  </si>
  <si>
    <t>Experiment 2</t>
  </si>
  <si>
    <t>Experiment 3</t>
  </si>
  <si>
    <t>Experiment 4</t>
  </si>
  <si>
    <t>DU145-CPI-637</t>
  </si>
  <si>
    <t>DU145-JQ1+CPI-637</t>
  </si>
  <si>
    <t>ST1  DMSO (n=52) vs JQ1 (n=45)</t>
  </si>
  <si>
    <t>ChIP: Ac-H3</t>
  </si>
  <si>
    <t>MYC enhancer</t>
  </si>
  <si>
    <t>ΔMYC enhancer-Input</t>
  </si>
  <si>
    <t>T. Test (SPOP WT vs MUT)</t>
  </si>
  <si>
    <t>SPOP Q165P Vehicle versus JQ2</t>
  </si>
  <si>
    <t>ΔNKX3.1 GAPDH</t>
  </si>
  <si>
    <t>313HR (WT)</t>
  </si>
  <si>
    <t>573R (Q165P)</t>
  </si>
  <si>
    <r>
      <t xml:space="preserve">Fig 4F. The enrichment of BRD4 at </t>
    </r>
    <r>
      <rPr>
        <b/>
        <i/>
        <sz val="12"/>
        <color rgb="FF000000"/>
        <rFont val="Arial"/>
        <family val="2"/>
      </rPr>
      <t>c-MYC</t>
    </r>
    <r>
      <rPr>
        <b/>
        <sz val="12"/>
        <color rgb="FF000000"/>
        <rFont val="Arial"/>
        <family val="2"/>
      </rPr>
      <t xml:space="preserve"> enhancer and </t>
    </r>
    <r>
      <rPr>
        <b/>
        <i/>
        <sz val="12"/>
        <color rgb="FF000000"/>
        <rFont val="Arial"/>
        <family val="2"/>
      </rPr>
      <t xml:space="preserve">RAC1 </t>
    </r>
    <r>
      <rPr>
        <b/>
        <sz val="12"/>
        <color rgb="FF000000"/>
        <rFont val="Arial"/>
        <family val="2"/>
      </rPr>
      <t>promoter was analyzed using qPCR (DU145 cells)</t>
    </r>
  </si>
  <si>
    <r>
      <t xml:space="preserve">Fig EV2A. The enrichment of BRD4 at </t>
    </r>
    <r>
      <rPr>
        <b/>
        <i/>
        <sz val="12"/>
        <color rgb="FF000000"/>
        <rFont val="Arial"/>
        <family val="2"/>
      </rPr>
      <t>c-MYC</t>
    </r>
    <r>
      <rPr>
        <b/>
        <sz val="12"/>
        <color rgb="FF000000"/>
        <rFont val="Arial"/>
        <family val="2"/>
      </rPr>
      <t xml:space="preserve"> enhancer and </t>
    </r>
    <r>
      <rPr>
        <b/>
        <i/>
        <sz val="12"/>
        <color rgb="FF000000"/>
        <rFont val="Arial"/>
        <family val="2"/>
      </rPr>
      <t xml:space="preserve">RAC1 </t>
    </r>
    <r>
      <rPr>
        <b/>
        <sz val="12"/>
        <color rgb="FF000000"/>
        <rFont val="Arial"/>
        <family val="2"/>
      </rPr>
      <t>promoter was analyzed using qPCR (C4-2 cells)</t>
    </r>
  </si>
  <si>
    <t>Fig EV5D. The quantification of the organoid diameter in both 313HR (WT) and 573R (Q165P)</t>
  </si>
  <si>
    <t>Fig EV5G. The quantification of Ki67 IFC staining in 313HR (WT) and 573R (Q165) after the drug treatment</t>
  </si>
  <si>
    <t>Fig 1E. The quantified IHC data of BRD4 in primary prostate cancer</t>
  </si>
  <si>
    <t>Fig 1G. The quantified IHC data of AR in primary prostate cancer</t>
  </si>
  <si>
    <t>Fig 4B. The quantification data of MTS in EV and Q165P DU145 cells after the drug treatment</t>
  </si>
  <si>
    <t>Fig 5C. The quantification of tumor growth in PDX mouse models after the drug treatment</t>
  </si>
  <si>
    <t>Fig 6D. The quantification of the organoid diameter in six organoid strains after the drug treatment</t>
  </si>
  <si>
    <t>Fig 6F. The quantification of cleaved Caspase-3 IFC staining in 313HR (WT) and 573R (Q165) after the drug treatment</t>
  </si>
  <si>
    <t>Fig EV1E. The quantified IHC data of AR in CRPC patient specimens</t>
  </si>
  <si>
    <t>Fig 4C. The NEO2734 IC50 in EV and SPOP Q165P DU145 cells</t>
  </si>
  <si>
    <t>Fig 4E. The quantification data of clonogenic survival in EV and SPOP Q165P DU145 cells after NEO2734 treatment</t>
  </si>
  <si>
    <r>
      <t xml:space="preserve">Fig 4G. The level of Ac-H3 at </t>
    </r>
    <r>
      <rPr>
        <b/>
        <i/>
        <sz val="12"/>
        <color theme="1"/>
        <rFont val="Arial"/>
        <family val="2"/>
      </rPr>
      <t>c-MYC</t>
    </r>
    <r>
      <rPr>
        <b/>
        <sz val="12"/>
        <color theme="1"/>
        <rFont val="Arial"/>
        <family val="2"/>
      </rPr>
      <t xml:space="preserve"> enhancer and </t>
    </r>
    <r>
      <rPr>
        <b/>
        <i/>
        <sz val="12"/>
        <color theme="1"/>
        <rFont val="Arial"/>
        <family val="2"/>
      </rPr>
      <t>RAC1</t>
    </r>
    <r>
      <rPr>
        <b/>
        <sz val="12"/>
        <color theme="1"/>
        <rFont val="Arial"/>
        <family val="2"/>
      </rPr>
      <t xml:space="preserve"> promoter is analyzed using qPCR (DU145 cells)</t>
    </r>
  </si>
  <si>
    <r>
      <t xml:space="preserve">Fig 5E. The quantification of </t>
    </r>
    <r>
      <rPr>
        <b/>
        <i/>
        <sz val="12"/>
        <color theme="1"/>
        <rFont val="Arial"/>
        <family val="2"/>
      </rPr>
      <t>PSA</t>
    </r>
    <r>
      <rPr>
        <b/>
        <sz val="12"/>
        <color theme="1"/>
        <rFont val="Arial"/>
        <family val="2"/>
      </rPr>
      <t xml:space="preserve">, </t>
    </r>
    <r>
      <rPr>
        <b/>
        <i/>
        <sz val="12"/>
        <color theme="1"/>
        <rFont val="Arial"/>
        <family val="2"/>
      </rPr>
      <t>TMPRSS2</t>
    </r>
    <r>
      <rPr>
        <b/>
        <sz val="12"/>
        <color theme="1"/>
        <rFont val="Arial"/>
        <family val="2"/>
      </rPr>
      <t xml:space="preserve">, </t>
    </r>
    <r>
      <rPr>
        <b/>
        <i/>
        <sz val="12"/>
        <color theme="1"/>
        <rFont val="Arial"/>
        <family val="2"/>
      </rPr>
      <t>NKX3.1</t>
    </r>
    <r>
      <rPr>
        <b/>
        <sz val="12"/>
        <color theme="1"/>
        <rFont val="Arial"/>
        <family val="2"/>
      </rPr>
      <t xml:space="preserve"> mRNA levels in drug-treated PDX tumors</t>
    </r>
  </si>
  <si>
    <t>Fig 7B. The quantification data of MTS in EV, SPOP Q165P and F133V C4-2 cells after the drug treatment</t>
  </si>
  <si>
    <t>Fig 7C. The NEO2734 IC50 in EV, SPOP Q165P and F133V C4-2 cells</t>
  </si>
  <si>
    <t>Fig 7E. The quantification data of clonogenic survival in EV, SPOP Q165P and F133V C4-2 cells after NEO2734 treatment</t>
  </si>
  <si>
    <t>Fig 7H. The quantification of tumor growth in EV, SPOP Q165P and F133V xenograft models after the drug treatment</t>
  </si>
  <si>
    <r>
      <t xml:space="preserve">Fig EV2B. The level of Ac-H3 at </t>
    </r>
    <r>
      <rPr>
        <b/>
        <i/>
        <sz val="12"/>
        <color theme="1"/>
        <rFont val="Arial"/>
        <family val="2"/>
      </rPr>
      <t>c-MYC</t>
    </r>
    <r>
      <rPr>
        <b/>
        <sz val="12"/>
        <color theme="1"/>
        <rFont val="Arial"/>
        <family val="2"/>
      </rPr>
      <t xml:space="preserve"> enhancer and </t>
    </r>
    <r>
      <rPr>
        <b/>
        <i/>
        <sz val="12"/>
        <color theme="1"/>
        <rFont val="Arial"/>
        <family val="2"/>
      </rPr>
      <t>RAC1</t>
    </r>
    <r>
      <rPr>
        <b/>
        <sz val="12"/>
        <color theme="1"/>
        <rFont val="Arial"/>
        <family val="2"/>
      </rPr>
      <t xml:space="preserve"> promoter is analyzed using qPCR (C4-2 cells)</t>
    </r>
  </si>
  <si>
    <t>Fig EV4B. The quantification of E-Cadherin IFC staining in both WT and SPOP Q165P PDX tumors</t>
  </si>
  <si>
    <t>Fig EV4D. The quantification of E-Cadherin western blot bands in both WT and SPOP Q165P PDX tumors</t>
  </si>
  <si>
    <t xml:space="preserve">Data Set EV1 includes all the numerical values and experimental sample number (n) for all the figures generated in this manuscript. Specifically, this dataset contains the original data for Figure 1E, 1G, Figure 4B-C, 4E-G, Figure 5C, 5E, Figure 6D, 6F, Figure 7B-C, 7E, 7H, Figure EV1E, Figure EV2A-B, Figure EV4B, EV4D,  Figure EV5D, EV5G.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</si>
</sst>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
  </numFmts>
  <fonts count="16">
    <font>
      <sz val="11"/>
      <color theme="1"/>
      <name val="Calibri"/>
      <family val="2"/>
      <scheme val="minor"/>
    </font>
    <font>
      <sz val="10"/>
      <color theme="1"/>
      <name val="Arial"/>
      <family val="2"/>
    </font>
    <font>
      <sz val="10"/>
      <name val="Arial"/>
    </font>
    <font>
      <sz val="10"/>
      <name val="Arial"/>
      <family val="2"/>
    </font>
    <font>
      <sz val="11"/>
      <color theme="1"/>
      <name val="Arial"/>
      <family val="2"/>
    </font>
    <font>
      <b/>
      <sz val="10"/>
      <color theme="1"/>
      <name val="Calibri"/>
      <family val="2"/>
      <scheme val="minor"/>
    </font>
    <font>
      <b/>
      <sz val="10"/>
      <name val="Arial"/>
      <family val="2"/>
    </font>
    <font>
      <b/>
      <sz val="10"/>
      <name val="Symbol"/>
      <family val="1"/>
    </font>
    <font>
      <sz val="11"/>
      <color theme="1"/>
      <name val="Calibri"/>
      <family val="2"/>
    </font>
    <font>
      <b/>
      <sz val="11"/>
      <color theme="1"/>
      <name val="Calibri"/>
      <family val="2"/>
      <scheme val="minor"/>
    </font>
    <font>
      <sz val="11"/>
      <name val="Calibri"/>
      <family val="2"/>
      <scheme val="minor"/>
    </font>
    <font>
      <b/>
      <sz val="12"/>
      <color theme="1"/>
      <name val="Arial"/>
      <family val="2"/>
    </font>
    <font>
      <b/>
      <sz val="12"/>
      <color rgb="FF000000"/>
      <name val="Arial"/>
      <family val="2"/>
    </font>
    <font>
      <b/>
      <i/>
      <sz val="12"/>
      <color rgb="FF000000"/>
      <name val="Arial"/>
      <family val="2"/>
    </font>
    <font>
      <b/>
      <i/>
      <sz val="12"/>
      <color theme="1"/>
      <name val="Arial"/>
      <family val="2"/>
    </font>
    <font>
      <b/>
      <sz val="11"/>
      <color theme="1"/>
      <name val="Arial"/>
      <family val="2"/>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s>
  <cellStyleXfs count="1">
    <xf numFmtId="0" fontId="0" fillId="0" borderId="0"/>
  </cellStyleXfs>
  <cellXfs count="81">
    <xf numFmtId="0" fontId="0" fillId="0" borderId="0" xfId="0"/>
    <xf numFmtId="0" fontId="2" fillId="0" borderId="0" xfId="0" applyFont="1"/>
    <xf numFmtId="164" fontId="2" fillId="0" borderId="0" xfId="0" applyNumberFormat="1" applyFont="1"/>
    <xf numFmtId="164" fontId="0" fillId="0" borderId="0" xfId="0" applyNumberFormat="1"/>
    <xf numFmtId="0" fontId="3" fillId="0" borderId="0" xfId="0" applyFont="1"/>
    <xf numFmtId="0" fontId="0" fillId="2" borderId="0" xfId="0" applyFill="1"/>
    <xf numFmtId="0" fontId="0" fillId="0" borderId="1" xfId="0" applyBorder="1"/>
    <xf numFmtId="0" fontId="0" fillId="0" borderId="2" xfId="0" applyBorder="1"/>
    <xf numFmtId="0" fontId="5" fillId="0" borderId="2" xfId="0" applyFont="1" applyBorder="1" applyAlignment="1"/>
    <xf numFmtId="0" fontId="5" fillId="0" borderId="2" xfId="0" applyFont="1" applyBorder="1" applyAlignment="1">
      <alignment horizontal="center"/>
    </xf>
    <xf numFmtId="0" fontId="6" fillId="0" borderId="3" xfId="0" applyFont="1" applyBorder="1" applyAlignment="1">
      <alignment horizontal="center"/>
    </xf>
    <xf numFmtId="0" fontId="0" fillId="0" borderId="4" xfId="0" applyBorder="1"/>
    <xf numFmtId="0" fontId="0" fillId="0" borderId="0" xfId="0" applyBorder="1"/>
    <xf numFmtId="0" fontId="5" fillId="0" borderId="0" xfId="0" applyFont="1" applyBorder="1" applyAlignment="1"/>
    <xf numFmtId="0" fontId="6" fillId="0" borderId="0" xfId="0" applyFont="1" applyBorder="1" applyAlignment="1">
      <alignment horizontal="center"/>
    </xf>
    <xf numFmtId="0" fontId="6" fillId="0" borderId="5" xfId="0" applyFont="1" applyBorder="1" applyAlignment="1">
      <alignment horizontal="center"/>
    </xf>
    <xf numFmtId="0" fontId="6" fillId="0" borderId="0" xfId="0" applyFont="1" applyBorder="1" applyAlignment="1"/>
    <xf numFmtId="0" fontId="0" fillId="0" borderId="5" xfId="0" applyBorder="1"/>
    <xf numFmtId="0" fontId="0" fillId="0" borderId="4" xfId="0" applyBorder="1" applyAlignment="1">
      <alignment horizontal="right"/>
    </xf>
    <xf numFmtId="0" fontId="0" fillId="3" borderId="0" xfId="0" applyFill="1" applyBorder="1" applyAlignment="1"/>
    <xf numFmtId="0" fontId="0" fillId="3" borderId="5" xfId="0" applyFill="1" applyBorder="1" applyAlignment="1"/>
    <xf numFmtId="0" fontId="0" fillId="0" borderId="6" xfId="0" applyBorder="1"/>
    <xf numFmtId="0" fontId="0" fillId="0" borderId="7" xfId="0" applyBorder="1"/>
    <xf numFmtId="0" fontId="0" fillId="3" borderId="7" xfId="0" applyFill="1" applyBorder="1" applyAlignment="1"/>
    <xf numFmtId="0" fontId="0" fillId="2" borderId="0" xfId="0" applyFill="1" applyBorder="1"/>
    <xf numFmtId="0" fontId="0" fillId="2" borderId="7" xfId="0" applyFill="1" applyBorder="1"/>
    <xf numFmtId="0" fontId="0" fillId="3" borderId="8" xfId="0" applyFill="1" applyBorder="1" applyAlignment="1"/>
    <xf numFmtId="2" fontId="0" fillId="2" borderId="0" xfId="0" applyNumberFormat="1" applyFill="1" applyBorder="1"/>
    <xf numFmtId="2" fontId="0" fillId="0" borderId="0" xfId="0" applyNumberFormat="1"/>
    <xf numFmtId="2" fontId="0" fillId="2" borderId="7" xfId="0" applyNumberFormat="1" applyFill="1" applyBorder="1"/>
    <xf numFmtId="0" fontId="0" fillId="2" borderId="0" xfId="0" applyFont="1" applyFill="1" applyAlignment="1">
      <alignment horizontal="center"/>
    </xf>
    <xf numFmtId="0" fontId="0" fillId="0" borderId="0" xfId="0" applyFont="1" applyAlignment="1">
      <alignment horizontal="center"/>
    </xf>
    <xf numFmtId="0" fontId="0" fillId="0" borderId="0" xfId="0" applyAlignment="1">
      <alignment horizontal="left" vertical="center"/>
    </xf>
    <xf numFmtId="165" fontId="0" fillId="0" borderId="0" xfId="0" applyNumberFormat="1" applyFont="1" applyAlignment="1">
      <alignment horizontal="center"/>
    </xf>
    <xf numFmtId="14" fontId="0" fillId="0" borderId="2" xfId="0" applyNumberFormat="1" applyBorder="1"/>
    <xf numFmtId="0" fontId="0" fillId="0" borderId="3" xfId="0" applyBorder="1"/>
    <xf numFmtId="0" fontId="0" fillId="0" borderId="8" xfId="0" applyBorder="1"/>
    <xf numFmtId="0" fontId="5" fillId="0" borderId="0" xfId="0" applyFont="1" applyAlignment="1"/>
    <xf numFmtId="0" fontId="5" fillId="0" borderId="0" xfId="0" applyFont="1" applyAlignment="1">
      <alignment horizontal="center"/>
    </xf>
    <xf numFmtId="0" fontId="6" fillId="0" borderId="0" xfId="0" applyFont="1" applyAlignment="1">
      <alignment horizontal="center"/>
    </xf>
    <xf numFmtId="0" fontId="6" fillId="0" borderId="0" xfId="0" applyFont="1" applyAlignment="1"/>
    <xf numFmtId="0" fontId="0" fillId="0" borderId="0" xfId="0" applyAlignment="1"/>
    <xf numFmtId="0" fontId="0" fillId="2" borderId="0" xfId="0" applyFill="1" applyAlignment="1"/>
    <xf numFmtId="49" fontId="0" fillId="0" borderId="0" xfId="0" applyNumberFormat="1"/>
    <xf numFmtId="49" fontId="0" fillId="0" borderId="0" xfId="0" applyNumberFormat="1" applyFill="1"/>
    <xf numFmtId="16" fontId="0" fillId="0" borderId="0" xfId="0" applyNumberFormat="1"/>
    <xf numFmtId="0" fontId="0" fillId="0" borderId="0" xfId="0" applyFill="1"/>
    <xf numFmtId="0" fontId="0" fillId="0" borderId="0" xfId="0" applyNumberFormat="1"/>
    <xf numFmtId="0" fontId="0" fillId="0" borderId="0" xfId="0" applyNumberFormat="1" applyFill="1"/>
    <xf numFmtId="49" fontId="0" fillId="0" borderId="0" xfId="0" applyNumberFormat="1" applyAlignment="1">
      <alignment horizontal="right"/>
    </xf>
    <xf numFmtId="49" fontId="8" fillId="0" borderId="0" xfId="0" applyNumberFormat="1" applyFont="1" applyAlignment="1">
      <alignment vertical="center"/>
    </xf>
    <xf numFmtId="49" fontId="8" fillId="0" borderId="0" xfId="0" applyNumberFormat="1" applyFont="1" applyAlignment="1">
      <alignment horizontal="right" vertical="center"/>
    </xf>
    <xf numFmtId="1" fontId="0" fillId="0" borderId="0" xfId="0" applyNumberFormat="1"/>
    <xf numFmtId="1" fontId="8" fillId="0" borderId="0" xfId="0" applyNumberFormat="1" applyFont="1" applyAlignment="1">
      <alignment vertical="center"/>
    </xf>
    <xf numFmtId="0" fontId="2" fillId="0" borderId="0" xfId="0" applyFont="1" applyAlignment="1">
      <alignment horizontal="left"/>
    </xf>
    <xf numFmtId="0" fontId="2" fillId="0" borderId="0" xfId="0" applyFont="1" applyAlignment="1">
      <alignment horizontal="center"/>
    </xf>
    <xf numFmtId="11" fontId="0" fillId="2" borderId="0" xfId="0" applyNumberFormat="1" applyFill="1"/>
    <xf numFmtId="0" fontId="9" fillId="2" borderId="9" xfId="0" applyFont="1" applyFill="1" applyBorder="1"/>
    <xf numFmtId="0" fontId="9" fillId="2" borderId="10" xfId="0" applyFont="1" applyFill="1" applyBorder="1"/>
    <xf numFmtId="0" fontId="9" fillId="2" borderId="11" xfId="0" applyFont="1" applyFill="1" applyBorder="1"/>
    <xf numFmtId="0" fontId="0" fillId="0" borderId="9" xfId="0" applyBorder="1"/>
    <xf numFmtId="0" fontId="0" fillId="0" borderId="10" xfId="0" applyBorder="1"/>
    <xf numFmtId="0" fontId="0" fillId="0" borderId="12" xfId="0" applyFill="1" applyBorder="1"/>
    <xf numFmtId="0" fontId="0" fillId="0" borderId="9" xfId="0" applyFill="1" applyBorder="1"/>
    <xf numFmtId="0" fontId="0" fillId="0" borderId="10" xfId="0" applyFill="1" applyBorder="1"/>
    <xf numFmtId="0" fontId="0" fillId="0" borderId="13" xfId="0" applyFill="1" applyBorder="1"/>
    <xf numFmtId="0" fontId="9" fillId="2" borderId="14" xfId="0" applyFont="1" applyFill="1" applyBorder="1"/>
    <xf numFmtId="0" fontId="9" fillId="2" borderId="15" xfId="0" applyFont="1" applyFill="1" applyBorder="1"/>
    <xf numFmtId="0" fontId="10" fillId="0" borderId="0" xfId="0" applyFont="1" applyFill="1"/>
    <xf numFmtId="0" fontId="0" fillId="0" borderId="0" xfId="0" applyFill="1" applyBorder="1"/>
    <xf numFmtId="0" fontId="0" fillId="0" borderId="16" xfId="0" applyBorder="1"/>
    <xf numFmtId="0" fontId="2" fillId="0" borderId="0" xfId="0" applyNumberFormat="1" applyFont="1"/>
    <xf numFmtId="0" fontId="1" fillId="0" borderId="0" xfId="0" applyNumberFormat="1" applyFont="1"/>
    <xf numFmtId="0" fontId="5" fillId="0" borderId="0" xfId="0" applyFont="1" applyBorder="1" applyAlignment="1">
      <alignment horizontal="center"/>
    </xf>
    <xf numFmtId="0" fontId="11" fillId="0" borderId="0" xfId="0" applyFont="1" applyBorder="1"/>
    <xf numFmtId="0" fontId="12" fillId="0" borderId="0" xfId="0" applyFont="1"/>
    <xf numFmtId="0" fontId="11" fillId="0" borderId="0" xfId="0" applyFont="1"/>
    <xf numFmtId="0" fontId="11" fillId="0" borderId="4" xfId="0" applyFont="1" applyBorder="1"/>
    <xf numFmtId="0" fontId="2" fillId="2" borderId="0" xfId="0" applyFont="1" applyFill="1"/>
    <xf numFmtId="0" fontId="0" fillId="0" borderId="0" xfId="0" applyAlignment="1">
      <alignment vertical="center"/>
    </xf>
    <xf numFmtId="0" fontId="15" fillId="0" borderId="0" xfId="0" applyFont="1" applyAlignment="1">
      <alignmen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3"/>
  <sheetViews>
    <sheetView tabSelected="1" workbookViewId="0">
      <selection activeCell="A3" sqref="A3"/>
    </sheetView>
  </sheetViews>
  <sheetFormatPr defaultRowHeight="15"/>
  <cols>
    <col min="1" max="1" width="90" customWidth="1"/>
  </cols>
  <sheetData>
    <row r="2" spans="1:1">
      <c r="A2" s="79"/>
    </row>
    <row r="3" spans="1:1" ht="75">
      <c r="A3" s="80" t="s">
        <v>543</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9"/>
  <sheetViews>
    <sheetView zoomScale="85" zoomScaleNormal="85" workbookViewId="0"/>
  </sheetViews>
  <sheetFormatPr defaultRowHeight="15"/>
  <cols>
    <col min="1" max="1" width="15.140625" customWidth="1"/>
    <col min="3" max="3" width="9.42578125" customWidth="1"/>
    <col min="9" max="9" width="14.28515625" customWidth="1"/>
    <col min="13" max="13" width="12.7109375" customWidth="1"/>
    <col min="14" max="14" width="12.85546875" customWidth="1"/>
    <col min="17" max="17" width="34.7109375" customWidth="1"/>
    <col min="18" max="19" width="29.42578125" customWidth="1"/>
  </cols>
  <sheetData>
    <row r="1" spans="1:18" ht="15.75">
      <c r="A1" s="76" t="s">
        <v>535</v>
      </c>
    </row>
    <row r="3" spans="1:18">
      <c r="C3" s="37"/>
      <c r="D3" s="37"/>
      <c r="E3" s="37"/>
      <c r="F3" s="38"/>
      <c r="G3" s="39" t="s">
        <v>95</v>
      </c>
      <c r="K3" s="37"/>
      <c r="L3" s="37"/>
      <c r="M3" s="37"/>
      <c r="N3" s="38"/>
      <c r="O3" s="39" t="s">
        <v>95</v>
      </c>
      <c r="Q3" t="s">
        <v>20</v>
      </c>
      <c r="R3" t="s">
        <v>153</v>
      </c>
    </row>
    <row r="4" spans="1:18">
      <c r="C4" s="37"/>
      <c r="D4" s="37"/>
      <c r="E4" s="37"/>
      <c r="F4" s="39" t="s">
        <v>97</v>
      </c>
      <c r="G4" s="39">
        <v>1000</v>
      </c>
      <c r="K4" s="37"/>
      <c r="L4" s="37"/>
      <c r="M4" s="37"/>
      <c r="N4" s="39" t="s">
        <v>97</v>
      </c>
      <c r="O4" s="39">
        <v>1000</v>
      </c>
      <c r="Q4" t="s">
        <v>159</v>
      </c>
      <c r="R4">
        <v>8.2418762676183697E-4</v>
      </c>
    </row>
    <row r="5" spans="1:18">
      <c r="B5" s="37" t="s">
        <v>140</v>
      </c>
      <c r="C5" t="s">
        <v>158</v>
      </c>
      <c r="D5" t="s">
        <v>153</v>
      </c>
      <c r="E5" s="40" t="s">
        <v>154</v>
      </c>
      <c r="F5" t="s">
        <v>153</v>
      </c>
      <c r="G5" s="5" t="s">
        <v>153</v>
      </c>
      <c r="J5" s="37" t="s">
        <v>140</v>
      </c>
      <c r="K5" t="s">
        <v>158</v>
      </c>
      <c r="L5" t="s">
        <v>155</v>
      </c>
      <c r="M5" s="40" t="s">
        <v>156</v>
      </c>
      <c r="N5" t="s">
        <v>157</v>
      </c>
      <c r="O5" s="5" t="s">
        <v>157</v>
      </c>
      <c r="Q5" t="s">
        <v>160</v>
      </c>
      <c r="R5">
        <v>2.5409091971726659E-4</v>
      </c>
    </row>
    <row r="6" spans="1:18">
      <c r="A6" t="s">
        <v>143</v>
      </c>
      <c r="B6">
        <v>17.43</v>
      </c>
      <c r="C6">
        <v>17.396666666666665</v>
      </c>
      <c r="D6">
        <v>20.67</v>
      </c>
      <c r="E6" s="41">
        <f t="shared" ref="E6:E35" si="0">D6-C6</f>
        <v>3.273333333333337</v>
      </c>
      <c r="F6" s="41">
        <f t="shared" ref="F6:F35" si="1">1/(2^E6)</f>
        <v>0.10342570283750134</v>
      </c>
      <c r="G6" s="42">
        <f t="shared" ref="G6:G12" si="2">F6*1000</f>
        <v>103.42570283750133</v>
      </c>
      <c r="I6" t="s">
        <v>143</v>
      </c>
      <c r="J6">
        <v>17.43</v>
      </c>
      <c r="K6">
        <v>17.396666666666665</v>
      </c>
      <c r="L6">
        <v>21.19</v>
      </c>
      <c r="M6" s="41">
        <f t="shared" ref="M6:M17" si="3">L6-K6</f>
        <v>3.7933333333333366</v>
      </c>
      <c r="N6" s="41">
        <f t="shared" ref="N6:N35" si="4">1/(2^M6)</f>
        <v>7.2126171985222101E-2</v>
      </c>
      <c r="O6" s="42">
        <f t="shared" ref="O6:O12" si="5">N6*1000</f>
        <v>72.126171985222101</v>
      </c>
      <c r="Q6" t="s">
        <v>161</v>
      </c>
      <c r="R6">
        <v>2.1094723722735794E-4</v>
      </c>
    </row>
    <row r="7" spans="1:18">
      <c r="B7">
        <v>17.48</v>
      </c>
      <c r="C7">
        <v>17.396666666666665</v>
      </c>
      <c r="D7">
        <v>20.36</v>
      </c>
      <c r="E7" s="41">
        <f t="shared" si="0"/>
        <v>2.9633333333333347</v>
      </c>
      <c r="F7" s="41">
        <f t="shared" si="1"/>
        <v>0.12821764017925213</v>
      </c>
      <c r="G7" s="42">
        <f t="shared" si="2"/>
        <v>128.21764017925213</v>
      </c>
      <c r="J7">
        <v>17.48</v>
      </c>
      <c r="K7">
        <v>17.396666666666665</v>
      </c>
      <c r="L7">
        <v>20.96</v>
      </c>
      <c r="M7" s="41">
        <f t="shared" si="3"/>
        <v>3.5633333333333361</v>
      </c>
      <c r="N7" s="41">
        <f t="shared" si="4"/>
        <v>8.4592095258577749E-2</v>
      </c>
      <c r="O7" s="42">
        <f t="shared" si="5"/>
        <v>84.592095258577743</v>
      </c>
      <c r="Q7" t="s">
        <v>162</v>
      </c>
      <c r="R7">
        <v>1.8811674047341612E-4</v>
      </c>
    </row>
    <row r="8" spans="1:18">
      <c r="B8">
        <v>17.28</v>
      </c>
      <c r="C8">
        <v>17.396666666666665</v>
      </c>
      <c r="D8">
        <v>20.41</v>
      </c>
      <c r="E8" s="41">
        <f t="shared" si="0"/>
        <v>3.0133333333333354</v>
      </c>
      <c r="F8" s="41">
        <f t="shared" si="1"/>
        <v>0.12385007665815352</v>
      </c>
      <c r="G8" s="42">
        <f t="shared" si="2"/>
        <v>123.85007665815353</v>
      </c>
      <c r="J8">
        <v>17.28</v>
      </c>
      <c r="K8">
        <v>17.396666666666665</v>
      </c>
      <c r="L8">
        <v>21.01</v>
      </c>
      <c r="M8" s="41">
        <f t="shared" si="3"/>
        <v>3.6133333333333368</v>
      </c>
      <c r="N8" s="41">
        <f t="shared" si="4"/>
        <v>8.1710577950131397E-2</v>
      </c>
      <c r="O8" s="42">
        <f t="shared" si="5"/>
        <v>81.710577950131395</v>
      </c>
      <c r="Q8" t="s">
        <v>163</v>
      </c>
      <c r="R8">
        <v>6.9367503121122017E-4</v>
      </c>
    </row>
    <row r="9" spans="1:18">
      <c r="A9" t="s">
        <v>144</v>
      </c>
      <c r="B9">
        <v>18.5</v>
      </c>
      <c r="C9">
        <v>18.376666666666669</v>
      </c>
      <c r="D9">
        <v>22.79</v>
      </c>
      <c r="E9" s="41">
        <f t="shared" si="0"/>
        <v>4.4133333333333304</v>
      </c>
      <c r="F9" s="41">
        <f t="shared" si="1"/>
        <v>4.6930403238586674E-2</v>
      </c>
      <c r="G9" s="42">
        <f t="shared" si="2"/>
        <v>46.930403238586671</v>
      </c>
      <c r="I9" t="s">
        <v>144</v>
      </c>
      <c r="J9">
        <v>18.5</v>
      </c>
      <c r="K9">
        <v>18.376666666666669</v>
      </c>
      <c r="L9">
        <v>23.21</v>
      </c>
      <c r="M9" s="41">
        <f t="shared" si="3"/>
        <v>4.8333333333333321</v>
      </c>
      <c r="N9" s="41">
        <f t="shared" si="4"/>
        <v>3.5076939009667935E-2</v>
      </c>
      <c r="O9" s="42">
        <f t="shared" si="5"/>
        <v>35.076939009667932</v>
      </c>
      <c r="Q9" t="s">
        <v>164</v>
      </c>
      <c r="R9">
        <v>1.5344876712944724E-4</v>
      </c>
    </row>
    <row r="10" spans="1:18">
      <c r="B10">
        <v>18.350000000000001</v>
      </c>
      <c r="C10">
        <v>18.376666666666669</v>
      </c>
      <c r="D10">
        <v>22.68</v>
      </c>
      <c r="E10" s="41">
        <f t="shared" si="0"/>
        <v>4.303333333333331</v>
      </c>
      <c r="F10" s="41">
        <f t="shared" si="1"/>
        <v>5.0648616325621523E-2</v>
      </c>
      <c r="G10" s="42">
        <f t="shared" si="2"/>
        <v>50.648616325621525</v>
      </c>
      <c r="J10">
        <v>18.350000000000001</v>
      </c>
      <c r="K10">
        <v>18.376666666666669</v>
      </c>
      <c r="L10">
        <v>23.1</v>
      </c>
      <c r="M10" s="41">
        <f t="shared" si="3"/>
        <v>4.7233333333333327</v>
      </c>
      <c r="N10" s="41">
        <f t="shared" si="4"/>
        <v>3.7856023029377267E-2</v>
      </c>
      <c r="O10" s="42">
        <f t="shared" si="5"/>
        <v>37.856023029377269</v>
      </c>
      <c r="Q10" t="s">
        <v>165</v>
      </c>
      <c r="R10">
        <v>1.4204487201738668E-4</v>
      </c>
    </row>
    <row r="11" spans="1:18">
      <c r="B11">
        <v>18.28</v>
      </c>
      <c r="C11">
        <v>18.376666666666669</v>
      </c>
      <c r="D11">
        <v>22.75</v>
      </c>
      <c r="E11" s="41">
        <f t="shared" si="0"/>
        <v>4.3733333333333313</v>
      </c>
      <c r="F11" s="41">
        <f t="shared" si="1"/>
        <v>4.8249796460135566E-2</v>
      </c>
      <c r="G11" s="42">
        <f t="shared" si="2"/>
        <v>48.249796460135563</v>
      </c>
      <c r="J11">
        <v>18.28</v>
      </c>
      <c r="K11">
        <v>18.376666666666669</v>
      </c>
      <c r="L11">
        <v>23.19</v>
      </c>
      <c r="M11" s="41">
        <f t="shared" si="3"/>
        <v>4.8133333333333326</v>
      </c>
      <c r="N11" s="41">
        <f t="shared" si="4"/>
        <v>3.5566594830869477E-2</v>
      </c>
      <c r="O11" s="42">
        <f t="shared" si="5"/>
        <v>35.566594830869477</v>
      </c>
      <c r="Q11" t="s">
        <v>166</v>
      </c>
      <c r="R11">
        <v>1.255643538604835E-4</v>
      </c>
    </row>
    <row r="12" spans="1:18">
      <c r="A12" t="s">
        <v>145</v>
      </c>
      <c r="B12">
        <v>19.29</v>
      </c>
      <c r="C12">
        <v>19.213333333333335</v>
      </c>
      <c r="D12">
        <v>24.49</v>
      </c>
      <c r="E12" s="41">
        <f t="shared" si="0"/>
        <v>5.2766666666666637</v>
      </c>
      <c r="F12" s="41">
        <f t="shared" si="1"/>
        <v>2.5796753643196078E-2</v>
      </c>
      <c r="G12" s="42">
        <f t="shared" si="2"/>
        <v>25.796753643196077</v>
      </c>
      <c r="I12" t="s">
        <v>145</v>
      </c>
      <c r="J12">
        <v>19.29</v>
      </c>
      <c r="K12">
        <v>19.213333333333335</v>
      </c>
      <c r="L12">
        <v>24.02</v>
      </c>
      <c r="M12" s="41">
        <f t="shared" si="3"/>
        <v>4.8066666666666649</v>
      </c>
      <c r="N12" s="41">
        <f t="shared" si="4"/>
        <v>3.5731327717715852E-2</v>
      </c>
      <c r="O12" s="42">
        <f t="shared" si="5"/>
        <v>35.73132771771585</v>
      </c>
    </row>
    <row r="13" spans="1:18">
      <c r="B13">
        <v>19.29</v>
      </c>
      <c r="C13">
        <v>19.213333333333335</v>
      </c>
      <c r="D13">
        <v>24.64</v>
      </c>
      <c r="E13" s="41">
        <f t="shared" si="0"/>
        <v>5.4266666666666659</v>
      </c>
      <c r="F13" s="41">
        <f t="shared" si="1"/>
        <v>2.3249336154788056E-2</v>
      </c>
      <c r="G13" s="42">
        <f>F13*1000</f>
        <v>23.249336154788057</v>
      </c>
      <c r="J13">
        <v>19.29</v>
      </c>
      <c r="K13">
        <v>19.213333333333335</v>
      </c>
      <c r="L13">
        <v>24.01</v>
      </c>
      <c r="M13" s="41">
        <f t="shared" si="3"/>
        <v>4.7966666666666669</v>
      </c>
      <c r="N13" s="41">
        <f t="shared" si="4"/>
        <v>3.5979858756249393E-2</v>
      </c>
      <c r="O13" s="42">
        <f>N13*1000</f>
        <v>35.979858756249392</v>
      </c>
      <c r="Q13" t="s">
        <v>20</v>
      </c>
      <c r="R13" t="s">
        <v>157</v>
      </c>
    </row>
    <row r="14" spans="1:18">
      <c r="B14">
        <v>19.059999999999999</v>
      </c>
      <c r="C14">
        <v>19.213333333333335</v>
      </c>
      <c r="D14">
        <v>24.77</v>
      </c>
      <c r="E14" s="41">
        <f t="shared" si="0"/>
        <v>5.5566666666666649</v>
      </c>
      <c r="F14" s="41">
        <f t="shared" si="1"/>
        <v>2.1245974575200815E-2</v>
      </c>
      <c r="G14" s="42">
        <f t="shared" ref="G14:G35" si="6">F14*1000</f>
        <v>21.245974575200815</v>
      </c>
      <c r="J14">
        <v>19.059999999999999</v>
      </c>
      <c r="K14">
        <v>19.213333333333335</v>
      </c>
      <c r="L14">
        <v>24.31</v>
      </c>
      <c r="M14" s="41">
        <f t="shared" si="3"/>
        <v>5.096666666666664</v>
      </c>
      <c r="N14" s="41">
        <f t="shared" si="4"/>
        <v>2.9224726495322522E-2</v>
      </c>
      <c r="O14" s="42">
        <f t="shared" ref="O14:O34" si="7">N14*1000</f>
        <v>29.224726495322521</v>
      </c>
      <c r="Q14" t="s">
        <v>159</v>
      </c>
      <c r="R14">
        <v>3.6083967330497694E-4</v>
      </c>
    </row>
    <row r="15" spans="1:18">
      <c r="A15" t="s">
        <v>146</v>
      </c>
      <c r="B15">
        <v>19.23</v>
      </c>
      <c r="C15">
        <v>19.226666666666699</v>
      </c>
      <c r="D15" s="28">
        <v>25.032956521739127</v>
      </c>
      <c r="E15" s="41">
        <f t="shared" si="0"/>
        <v>5.8062898550724285</v>
      </c>
      <c r="F15" s="41">
        <f t="shared" si="1"/>
        <v>1.7870330727681065E-2</v>
      </c>
      <c r="G15" s="42">
        <f t="shared" si="6"/>
        <v>17.870330727681065</v>
      </c>
      <c r="I15" t="s">
        <v>146</v>
      </c>
      <c r="J15">
        <v>19.23</v>
      </c>
      <c r="K15">
        <v>19.226666666666699</v>
      </c>
      <c r="L15" s="28">
        <v>25.4383631805158</v>
      </c>
      <c r="M15" s="41">
        <f t="shared" si="3"/>
        <v>6.2116965138491018</v>
      </c>
      <c r="N15" s="41">
        <f t="shared" si="4"/>
        <v>1.349251859811435E-2</v>
      </c>
      <c r="O15" s="42">
        <f t="shared" si="7"/>
        <v>13.49251859811435</v>
      </c>
      <c r="Q15" t="s">
        <v>160</v>
      </c>
      <c r="R15">
        <v>4.6686753190777861E-4</v>
      </c>
    </row>
    <row r="16" spans="1:18">
      <c r="B16">
        <v>19.260000000000002</v>
      </c>
      <c r="C16">
        <v>19.226666666666699</v>
      </c>
      <c r="D16" s="28">
        <v>24.811148180242636</v>
      </c>
      <c r="E16" s="41">
        <f t="shared" si="0"/>
        <v>5.5844815135759376</v>
      </c>
      <c r="F16" s="41">
        <f t="shared" si="1"/>
        <v>2.0840280218038437E-2</v>
      </c>
      <c r="G16" s="42">
        <f t="shared" si="6"/>
        <v>20.840280218038437</v>
      </c>
      <c r="J16">
        <v>19.260000000000002</v>
      </c>
      <c r="K16">
        <v>19.226666666666699</v>
      </c>
      <c r="L16" s="28">
        <v>24.447043327556301</v>
      </c>
      <c r="M16" s="41">
        <f t="shared" si="3"/>
        <v>5.2203766608896025</v>
      </c>
      <c r="N16" s="41">
        <f t="shared" si="4"/>
        <v>2.6823165943799829E-2</v>
      </c>
      <c r="O16" s="42">
        <f t="shared" si="7"/>
        <v>26.823165943799829</v>
      </c>
      <c r="Q16" t="s">
        <v>161</v>
      </c>
      <c r="R16">
        <v>3.9174858481134326E-4</v>
      </c>
    </row>
    <row r="17" spans="1:18">
      <c r="B17">
        <v>19.190000000000001</v>
      </c>
      <c r="C17">
        <v>19.22666666666667</v>
      </c>
      <c r="D17" s="28">
        <v>24.866</v>
      </c>
      <c r="E17" s="41">
        <f t="shared" si="0"/>
        <v>5.6393333333333295</v>
      </c>
      <c r="F17" s="41">
        <f t="shared" si="1"/>
        <v>2.0062798489170062E-2</v>
      </c>
      <c r="G17" s="42">
        <f t="shared" si="6"/>
        <v>20.062798489170063</v>
      </c>
      <c r="J17">
        <v>19.190000000000001</v>
      </c>
      <c r="K17">
        <v>19.22666666666667</v>
      </c>
      <c r="L17" s="28">
        <v>24.820871559633002</v>
      </c>
      <c r="M17" s="41">
        <f t="shared" si="3"/>
        <v>5.5942048929663315</v>
      </c>
      <c r="N17" s="41">
        <f t="shared" si="4"/>
        <v>2.0700294556400312E-2</v>
      </c>
      <c r="O17" s="42">
        <f t="shared" si="7"/>
        <v>20.700294556400312</v>
      </c>
      <c r="Q17" t="s">
        <v>162</v>
      </c>
      <c r="R17">
        <v>7.1748293753874461E-5</v>
      </c>
    </row>
    <row r="18" spans="1:18">
      <c r="A18" t="s">
        <v>147</v>
      </c>
      <c r="B18">
        <v>18.05</v>
      </c>
      <c r="C18">
        <v>18.086666666666662</v>
      </c>
      <c r="D18">
        <v>24.04</v>
      </c>
      <c r="E18" s="41">
        <f t="shared" si="0"/>
        <v>5.9533333333333367</v>
      </c>
      <c r="F18" s="41">
        <f t="shared" si="1"/>
        <v>1.6138683049209131E-2</v>
      </c>
      <c r="G18" s="42">
        <f t="shared" si="6"/>
        <v>16.138683049209131</v>
      </c>
      <c r="I18" t="s">
        <v>147</v>
      </c>
      <c r="J18">
        <v>18.05</v>
      </c>
      <c r="K18">
        <v>18.086666666666662</v>
      </c>
      <c r="L18">
        <v>24.17</v>
      </c>
      <c r="M18" s="41">
        <f>L18-K18</f>
        <v>6.0833333333333393</v>
      </c>
      <c r="N18" s="41">
        <f t="shared" si="4"/>
        <v>1.4748036135651399E-2</v>
      </c>
      <c r="O18" s="42">
        <f t="shared" si="7"/>
        <v>14.748036135651398</v>
      </c>
      <c r="Q18" t="s">
        <v>163</v>
      </c>
      <c r="R18">
        <v>2.8635246523345601E-4</v>
      </c>
    </row>
    <row r="19" spans="1:18">
      <c r="B19">
        <v>18.079999999999998</v>
      </c>
      <c r="C19">
        <v>18.086666666666662</v>
      </c>
      <c r="D19">
        <v>23.87</v>
      </c>
      <c r="E19" s="41">
        <f t="shared" si="0"/>
        <v>5.7833333333333385</v>
      </c>
      <c r="F19" s="41">
        <f t="shared" si="1"/>
        <v>1.8156962296216182E-2</v>
      </c>
      <c r="G19" s="42">
        <f t="shared" si="6"/>
        <v>18.156962296216182</v>
      </c>
      <c r="J19">
        <v>18.079999999999998</v>
      </c>
      <c r="K19">
        <v>18.086666666666662</v>
      </c>
      <c r="L19">
        <v>24.09</v>
      </c>
      <c r="M19" s="41">
        <f t="shared" ref="M19:M35" si="8">L19-K19</f>
        <v>6.0033333333333374</v>
      </c>
      <c r="N19" s="41">
        <f t="shared" si="4"/>
        <v>1.5588940258234691E-2</v>
      </c>
      <c r="O19" s="42">
        <f t="shared" si="7"/>
        <v>15.588940258234691</v>
      </c>
      <c r="Q19" t="s">
        <v>164</v>
      </c>
      <c r="R19">
        <v>6.5553835180251632E-5</v>
      </c>
    </row>
    <row r="20" spans="1:18">
      <c r="B20">
        <v>18.13</v>
      </c>
      <c r="C20">
        <v>18.086666666666662</v>
      </c>
      <c r="D20">
        <v>23.98</v>
      </c>
      <c r="E20" s="41">
        <f t="shared" si="0"/>
        <v>5.893333333333338</v>
      </c>
      <c r="F20" s="41">
        <f t="shared" si="1"/>
        <v>1.6824024503867503E-2</v>
      </c>
      <c r="G20" s="42">
        <f t="shared" si="6"/>
        <v>16.824024503867502</v>
      </c>
      <c r="J20">
        <v>18.13</v>
      </c>
      <c r="K20">
        <v>18.086666666666662</v>
      </c>
      <c r="L20">
        <v>24.05</v>
      </c>
      <c r="M20" s="41">
        <f t="shared" si="8"/>
        <v>5.9633333333333383</v>
      </c>
      <c r="N20" s="41">
        <f t="shared" si="4"/>
        <v>1.6027205022406468E-2</v>
      </c>
      <c r="O20" s="42">
        <f t="shared" si="7"/>
        <v>16.02720502240647</v>
      </c>
      <c r="Q20" t="s">
        <v>165</v>
      </c>
      <c r="R20">
        <v>0.37147197811503024</v>
      </c>
    </row>
    <row r="21" spans="1:18">
      <c r="A21" t="s">
        <v>148</v>
      </c>
      <c r="B21" s="28">
        <v>17.552009999999999</v>
      </c>
      <c r="C21">
        <v>17.518443333333334</v>
      </c>
      <c r="D21">
        <v>19.809999999999999</v>
      </c>
      <c r="E21" s="41">
        <f t="shared" si="0"/>
        <v>2.2915566666666649</v>
      </c>
      <c r="F21" s="41">
        <f t="shared" si="1"/>
        <v>0.20425500472730709</v>
      </c>
      <c r="G21" s="42">
        <f t="shared" si="6"/>
        <v>204.2550047273071</v>
      </c>
      <c r="I21" t="s">
        <v>148</v>
      </c>
      <c r="J21" s="28">
        <v>17.552009999999999</v>
      </c>
      <c r="K21">
        <v>17.518443333333334</v>
      </c>
      <c r="L21">
        <v>20.34</v>
      </c>
      <c r="M21" s="41">
        <f t="shared" si="8"/>
        <v>2.821556666666666</v>
      </c>
      <c r="N21" s="41">
        <f t="shared" si="4"/>
        <v>0.14145777047841726</v>
      </c>
      <c r="O21" s="42">
        <f t="shared" si="7"/>
        <v>141.45777047841727</v>
      </c>
      <c r="Q21" t="s">
        <v>166</v>
      </c>
      <c r="R21">
        <v>4.0365267984208714E-5</v>
      </c>
    </row>
    <row r="22" spans="1:18">
      <c r="B22" s="28">
        <v>17.602360000000001</v>
      </c>
      <c r="C22">
        <v>17.518443333333334</v>
      </c>
      <c r="D22">
        <v>19.5</v>
      </c>
      <c r="E22" s="41">
        <f t="shared" si="0"/>
        <v>1.9815566666666662</v>
      </c>
      <c r="F22" s="41">
        <f t="shared" si="1"/>
        <v>0.25321650211151647</v>
      </c>
      <c r="G22" s="42">
        <f t="shared" si="6"/>
        <v>253.21650211151646</v>
      </c>
      <c r="J22" s="28">
        <v>17.602360000000001</v>
      </c>
      <c r="K22">
        <v>17.518443333333334</v>
      </c>
      <c r="L22">
        <v>20.11</v>
      </c>
      <c r="M22" s="41">
        <f t="shared" si="8"/>
        <v>2.5915566666666656</v>
      </c>
      <c r="N22" s="41">
        <f t="shared" si="4"/>
        <v>0.16590661705750934</v>
      </c>
      <c r="O22" s="42">
        <f t="shared" si="7"/>
        <v>165.90661705750935</v>
      </c>
    </row>
    <row r="23" spans="1:18">
      <c r="B23" s="28">
        <v>17.400960000000001</v>
      </c>
      <c r="C23">
        <v>17.518443333333334</v>
      </c>
      <c r="D23">
        <v>19.55</v>
      </c>
      <c r="E23" s="41">
        <f t="shared" si="0"/>
        <v>2.0315566666666669</v>
      </c>
      <c r="F23" s="41">
        <f t="shared" si="1"/>
        <v>0.24459101847278855</v>
      </c>
      <c r="G23" s="42">
        <f t="shared" si="6"/>
        <v>244.59101847278856</v>
      </c>
      <c r="J23" s="28">
        <v>17.400960000000001</v>
      </c>
      <c r="K23">
        <v>17.518443333333334</v>
      </c>
      <c r="L23">
        <v>20.16</v>
      </c>
      <c r="M23" s="41">
        <f t="shared" si="8"/>
        <v>2.6415566666666663</v>
      </c>
      <c r="N23" s="41">
        <f t="shared" si="4"/>
        <v>0.16025522862487065</v>
      </c>
      <c r="O23" s="42">
        <f t="shared" si="7"/>
        <v>160.25522862487065</v>
      </c>
    </row>
    <row r="24" spans="1:18">
      <c r="A24" t="s">
        <v>149</v>
      </c>
      <c r="B24" s="28">
        <v>19.002089999999999</v>
      </c>
      <c r="C24">
        <v>18.875409400000002</v>
      </c>
      <c r="D24">
        <v>22.4</v>
      </c>
      <c r="E24" s="41">
        <f t="shared" si="0"/>
        <v>3.5245905999999962</v>
      </c>
      <c r="F24" s="41">
        <f t="shared" si="1"/>
        <v>8.6894543693599655E-2</v>
      </c>
      <c r="G24" s="42">
        <f t="shared" si="6"/>
        <v>86.894543693599658</v>
      </c>
      <c r="I24" t="s">
        <v>149</v>
      </c>
      <c r="J24" s="28">
        <v>19.002089999999999</v>
      </c>
      <c r="K24">
        <v>18.875409400000002</v>
      </c>
      <c r="L24">
        <v>22.84</v>
      </c>
      <c r="M24" s="41">
        <f t="shared" si="8"/>
        <v>3.9645905999999975</v>
      </c>
      <c r="N24" s="41">
        <f t="shared" si="4"/>
        <v>6.4052975459015199E-2</v>
      </c>
      <c r="O24" s="42">
        <f t="shared" si="7"/>
        <v>64.052975459015201</v>
      </c>
      <c r="Q24" t="s">
        <v>20</v>
      </c>
      <c r="R24" t="s">
        <v>141</v>
      </c>
    </row>
    <row r="25" spans="1:18">
      <c r="B25" s="28">
        <v>18.848019000000004</v>
      </c>
      <c r="C25">
        <v>18.875409400000002</v>
      </c>
      <c r="D25">
        <v>22.29</v>
      </c>
      <c r="E25" s="41">
        <f t="shared" si="0"/>
        <v>3.4145905999999968</v>
      </c>
      <c r="F25" s="41">
        <f t="shared" si="1"/>
        <v>9.3779045152300386E-2</v>
      </c>
      <c r="G25" s="42">
        <f t="shared" si="6"/>
        <v>93.779045152300384</v>
      </c>
      <c r="J25" s="28">
        <v>18.848019000000004</v>
      </c>
      <c r="K25">
        <v>18.875409400000002</v>
      </c>
      <c r="L25">
        <v>22.73</v>
      </c>
      <c r="M25" s="41">
        <f t="shared" si="8"/>
        <v>3.8545905999999981</v>
      </c>
      <c r="N25" s="41">
        <f t="shared" si="4"/>
        <v>6.9127779747494317E-2</v>
      </c>
      <c r="O25" s="42">
        <f t="shared" si="7"/>
        <v>69.127779747494316</v>
      </c>
      <c r="Q25" t="s">
        <v>159</v>
      </c>
      <c r="R25">
        <v>1.4709732509307169E-4</v>
      </c>
    </row>
    <row r="26" spans="1:18">
      <c r="B26" s="28">
        <v>18.776119200000004</v>
      </c>
      <c r="C26">
        <v>18.875409400000002</v>
      </c>
      <c r="D26">
        <v>22.37</v>
      </c>
      <c r="E26" s="41">
        <f t="shared" si="0"/>
        <v>3.4945905999999987</v>
      </c>
      <c r="F26" s="41">
        <f t="shared" si="1"/>
        <v>8.8720382768958592E-2</v>
      </c>
      <c r="G26" s="42">
        <f t="shared" si="6"/>
        <v>88.720382768958586</v>
      </c>
      <c r="J26" s="28">
        <v>18.776119200000004</v>
      </c>
      <c r="K26">
        <v>18.875409400000002</v>
      </c>
      <c r="L26">
        <v>22.82</v>
      </c>
      <c r="M26" s="41">
        <f t="shared" si="8"/>
        <v>3.9445905999999979</v>
      </c>
      <c r="N26" s="41">
        <f t="shared" si="4"/>
        <v>6.4947121675426558E-2</v>
      </c>
      <c r="O26" s="42">
        <f t="shared" si="7"/>
        <v>64.947121675426558</v>
      </c>
      <c r="Q26" t="s">
        <v>160</v>
      </c>
      <c r="R26">
        <v>6.1193364101761458E-5</v>
      </c>
    </row>
    <row r="27" spans="1:18">
      <c r="A27" t="s">
        <v>150</v>
      </c>
      <c r="B27" s="28">
        <v>19.42503</v>
      </c>
      <c r="C27">
        <v>19.347826666666666</v>
      </c>
      <c r="D27">
        <v>24.66</v>
      </c>
      <c r="E27" s="41">
        <f t="shared" si="0"/>
        <v>5.3121733333333339</v>
      </c>
      <c r="F27" s="41">
        <f t="shared" si="1"/>
        <v>2.5169609897954876E-2</v>
      </c>
      <c r="G27" s="42">
        <f t="shared" si="6"/>
        <v>25.169609897954878</v>
      </c>
      <c r="I27" t="s">
        <v>150</v>
      </c>
      <c r="J27" s="28">
        <v>19.42503</v>
      </c>
      <c r="K27">
        <v>19.347826666666666</v>
      </c>
      <c r="L27">
        <v>24.5</v>
      </c>
      <c r="M27" s="41">
        <f t="shared" si="8"/>
        <v>5.1521733333333337</v>
      </c>
      <c r="N27" s="41">
        <f t="shared" si="4"/>
        <v>2.8121681409280223E-2</v>
      </c>
      <c r="O27" s="42">
        <f t="shared" si="7"/>
        <v>28.121681409280225</v>
      </c>
      <c r="Q27" t="s">
        <v>161</v>
      </c>
      <c r="R27">
        <v>7.1248803943545748E-5</v>
      </c>
    </row>
    <row r="28" spans="1:18">
      <c r="B28" s="28">
        <v>19.42503</v>
      </c>
      <c r="C28">
        <v>19.347826666666666</v>
      </c>
      <c r="D28">
        <v>24.81</v>
      </c>
      <c r="E28" s="41">
        <f t="shared" si="0"/>
        <v>5.4621733333333324</v>
      </c>
      <c r="F28" s="41">
        <f t="shared" si="1"/>
        <v>2.2684122564265986E-2</v>
      </c>
      <c r="G28" s="42">
        <f t="shared" si="6"/>
        <v>22.684122564265987</v>
      </c>
      <c r="J28" s="28">
        <v>19.42503</v>
      </c>
      <c r="K28">
        <v>19.347826666666666</v>
      </c>
      <c r="L28">
        <v>24.59</v>
      </c>
      <c r="M28" s="41">
        <f t="shared" si="8"/>
        <v>5.2421733333333336</v>
      </c>
      <c r="N28" s="41">
        <f t="shared" si="4"/>
        <v>2.6420959430167524E-2</v>
      </c>
      <c r="O28" s="42">
        <f t="shared" si="7"/>
        <v>26.420959430167525</v>
      </c>
      <c r="Q28" t="s">
        <v>162</v>
      </c>
      <c r="R28">
        <v>4.8482319599772301E-5</v>
      </c>
    </row>
    <row r="29" spans="1:18">
      <c r="B29" s="28">
        <v>19.193419999999996</v>
      </c>
      <c r="C29">
        <v>19.347826666666666</v>
      </c>
      <c r="D29">
        <v>24.94</v>
      </c>
      <c r="E29" s="41">
        <f t="shared" si="0"/>
        <v>5.592173333333335</v>
      </c>
      <c r="F29" s="41">
        <f t="shared" si="1"/>
        <v>2.0729464620084619E-2</v>
      </c>
      <c r="G29" s="42">
        <f t="shared" si="6"/>
        <v>20.72946462008462</v>
      </c>
      <c r="J29" s="28">
        <v>19.193419999999996</v>
      </c>
      <c r="K29">
        <v>19.347826666666666</v>
      </c>
      <c r="L29">
        <v>24.49</v>
      </c>
      <c r="M29" s="41">
        <f t="shared" si="8"/>
        <v>5.1421733333333322</v>
      </c>
      <c r="N29" s="41">
        <f t="shared" si="4"/>
        <v>2.8317283172001599E-2</v>
      </c>
      <c r="O29" s="42">
        <f t="shared" si="7"/>
        <v>28.317283172001599</v>
      </c>
      <c r="Q29" t="s">
        <v>163</v>
      </c>
      <c r="R29">
        <v>1.0189078012840253E-3</v>
      </c>
    </row>
    <row r="30" spans="1:18">
      <c r="A30" t="s">
        <v>151</v>
      </c>
      <c r="B30" s="28">
        <v>19.364609999999999</v>
      </c>
      <c r="C30">
        <v>19.361253333333334</v>
      </c>
      <c r="D30">
        <v>25.21</v>
      </c>
      <c r="E30" s="41">
        <f t="shared" si="0"/>
        <v>5.848746666666667</v>
      </c>
      <c r="F30" s="41">
        <f t="shared" si="1"/>
        <v>1.7352090988021866E-2</v>
      </c>
      <c r="G30" s="42">
        <f t="shared" si="6"/>
        <v>17.352090988021867</v>
      </c>
      <c r="I30" t="s">
        <v>151</v>
      </c>
      <c r="J30" s="28">
        <v>19.364609999999999</v>
      </c>
      <c r="K30">
        <v>19.361253333333334</v>
      </c>
      <c r="L30">
        <v>25.61</v>
      </c>
      <c r="M30" s="41">
        <f t="shared" si="8"/>
        <v>6.2487466666666656</v>
      </c>
      <c r="N30" s="41">
        <f t="shared" si="4"/>
        <v>1.3150425887070272E-2</v>
      </c>
      <c r="O30" s="42">
        <f t="shared" si="7"/>
        <v>13.150425887070272</v>
      </c>
      <c r="Q30" t="s">
        <v>164</v>
      </c>
      <c r="R30">
        <v>6.0419393961832882E-5</v>
      </c>
    </row>
    <row r="31" spans="1:18">
      <c r="B31" s="28">
        <v>19.394819999999999</v>
      </c>
      <c r="C31">
        <v>19.361253333333334</v>
      </c>
      <c r="D31">
        <v>24.98</v>
      </c>
      <c r="E31" s="41">
        <f t="shared" si="0"/>
        <v>5.6187466666666666</v>
      </c>
      <c r="F31" s="41">
        <f t="shared" si="1"/>
        <v>2.0351138753003574E-2</v>
      </c>
      <c r="G31" s="42">
        <f t="shared" si="6"/>
        <v>20.351138753003575</v>
      </c>
      <c r="J31" s="28">
        <v>19.394819999999999</v>
      </c>
      <c r="K31">
        <v>19.361253333333334</v>
      </c>
      <c r="L31">
        <v>25.61</v>
      </c>
      <c r="M31" s="41">
        <f t="shared" si="8"/>
        <v>6.2487466666666656</v>
      </c>
      <c r="N31" s="41">
        <f t="shared" si="4"/>
        <v>1.3150425887070272E-2</v>
      </c>
      <c r="O31" s="42">
        <f t="shared" si="7"/>
        <v>13.150425887070272</v>
      </c>
      <c r="Q31" t="s">
        <v>165</v>
      </c>
      <c r="R31">
        <v>0.53042961989162551</v>
      </c>
    </row>
    <row r="32" spans="1:18">
      <c r="B32" s="28">
        <v>19.324330000000003</v>
      </c>
      <c r="C32">
        <v>19.361253333333334</v>
      </c>
      <c r="D32">
        <v>25.04</v>
      </c>
      <c r="E32" s="41">
        <f t="shared" si="0"/>
        <v>5.6787466666666653</v>
      </c>
      <c r="F32" s="41">
        <f t="shared" si="1"/>
        <v>1.9522117193166252E-2</v>
      </c>
      <c r="G32" s="42">
        <f t="shared" si="6"/>
        <v>19.522117193166252</v>
      </c>
      <c r="J32" s="28">
        <v>19.324330000000003</v>
      </c>
      <c r="K32">
        <v>19.361253333333334</v>
      </c>
      <c r="L32">
        <v>24.99</v>
      </c>
      <c r="M32" s="41">
        <f t="shared" si="8"/>
        <v>5.6287466666666646</v>
      </c>
      <c r="N32" s="41">
        <f t="shared" si="4"/>
        <v>2.0210563169205716E-2</v>
      </c>
      <c r="O32" s="42">
        <f t="shared" si="7"/>
        <v>20.210563169205717</v>
      </c>
      <c r="Q32" t="s">
        <v>166</v>
      </c>
      <c r="R32">
        <v>3.746737985520267E-5</v>
      </c>
    </row>
    <row r="33" spans="1:15">
      <c r="A33" t="s">
        <v>152</v>
      </c>
      <c r="B33" s="28">
        <v>19.415977070000004</v>
      </c>
      <c r="C33">
        <v>19.45541857466667</v>
      </c>
      <c r="D33">
        <v>25.86</v>
      </c>
      <c r="E33" s="41">
        <f t="shared" si="0"/>
        <v>6.4045814253333297</v>
      </c>
      <c r="F33" s="41">
        <f t="shared" si="1"/>
        <v>1.1803991315387858E-2</v>
      </c>
      <c r="G33" s="42">
        <f t="shared" si="6"/>
        <v>11.803991315387858</v>
      </c>
      <c r="I33" t="s">
        <v>152</v>
      </c>
      <c r="J33" s="28">
        <v>19.415977070000004</v>
      </c>
      <c r="K33">
        <v>19.45541857466667</v>
      </c>
      <c r="L33">
        <v>26</v>
      </c>
      <c r="M33" s="41">
        <f t="shared" si="8"/>
        <v>6.5445814253333303</v>
      </c>
      <c r="N33" s="41">
        <f t="shared" si="4"/>
        <v>1.0712348227911889E-2</v>
      </c>
      <c r="O33" s="42">
        <f t="shared" si="7"/>
        <v>10.712348227911889</v>
      </c>
    </row>
    <row r="34" spans="1:15">
      <c r="B34" s="28">
        <v>19.448247392000003</v>
      </c>
      <c r="C34">
        <v>19.45541857466667</v>
      </c>
      <c r="D34">
        <v>25.68</v>
      </c>
      <c r="E34" s="41">
        <f t="shared" si="0"/>
        <v>6.22458142533333</v>
      </c>
      <c r="F34" s="41">
        <f t="shared" si="1"/>
        <v>1.3372551543374455E-2</v>
      </c>
      <c r="G34" s="42">
        <f t="shared" si="6"/>
        <v>13.372551543374454</v>
      </c>
      <c r="J34" s="28">
        <v>19.448247392000003</v>
      </c>
      <c r="K34">
        <v>19.45541857466667</v>
      </c>
      <c r="L34">
        <v>25.91</v>
      </c>
      <c r="M34" s="41">
        <f t="shared" si="8"/>
        <v>6.4545814253333305</v>
      </c>
      <c r="N34" s="41">
        <f t="shared" si="4"/>
        <v>1.1401904037846501E-2</v>
      </c>
      <c r="O34" s="42">
        <f t="shared" si="7"/>
        <v>11.401904037846501</v>
      </c>
    </row>
    <row r="35" spans="1:15">
      <c r="B35" s="28">
        <v>19.502031262000003</v>
      </c>
      <c r="C35">
        <v>19.45541857466667</v>
      </c>
      <c r="D35">
        <v>25.79</v>
      </c>
      <c r="E35" s="41">
        <f t="shared" si="0"/>
        <v>6.3345814253333295</v>
      </c>
      <c r="F35" s="41">
        <f t="shared" si="1"/>
        <v>1.2390846617104431E-2</v>
      </c>
      <c r="G35" s="42">
        <f t="shared" si="6"/>
        <v>12.390846617104431</v>
      </c>
      <c r="J35" s="28">
        <v>19.502031262000003</v>
      </c>
      <c r="K35">
        <v>19.45541857466667</v>
      </c>
      <c r="L35">
        <v>25.87</v>
      </c>
      <c r="M35" s="41">
        <f t="shared" si="8"/>
        <v>6.4145814253333313</v>
      </c>
      <c r="N35" s="41">
        <f t="shared" si="4"/>
        <v>1.1722455191515612E-2</v>
      </c>
      <c r="O35" s="42">
        <f>N35*1000</f>
        <v>11.722455191515612</v>
      </c>
    </row>
    <row r="37" spans="1:15">
      <c r="C37" s="37"/>
      <c r="D37" s="37"/>
      <c r="E37" s="37"/>
      <c r="F37" s="38"/>
      <c r="G37" s="39" t="s">
        <v>95</v>
      </c>
    </row>
    <row r="38" spans="1:15">
      <c r="C38" s="37"/>
      <c r="D38" s="37"/>
      <c r="E38" s="37"/>
      <c r="F38" s="39" t="s">
        <v>97</v>
      </c>
      <c r="G38" s="39">
        <v>1000</v>
      </c>
    </row>
    <row r="39" spans="1:15">
      <c r="B39" s="37" t="s">
        <v>140</v>
      </c>
      <c r="C39" t="s">
        <v>158</v>
      </c>
      <c r="D39" t="s">
        <v>142</v>
      </c>
      <c r="E39" s="40" t="s">
        <v>518</v>
      </c>
      <c r="F39" t="s">
        <v>141</v>
      </c>
      <c r="G39" s="5" t="s">
        <v>142</v>
      </c>
    </row>
    <row r="40" spans="1:15">
      <c r="A40" t="s">
        <v>143</v>
      </c>
      <c r="B40">
        <v>17.43</v>
      </c>
      <c r="C40">
        <v>17.396666666666665</v>
      </c>
      <c r="D40">
        <v>20.93</v>
      </c>
      <c r="E40" s="41">
        <f t="shared" ref="E40:E69" si="9">D40-C40</f>
        <v>3.533333333333335</v>
      </c>
      <c r="F40" s="41">
        <f t="shared" ref="F40:F69" si="10">1/(2^E40)</f>
        <v>8.6369554997985931E-2</v>
      </c>
      <c r="G40" s="42">
        <f t="shared" ref="G40:G69" si="11">F40*1000</f>
        <v>86.369554997985929</v>
      </c>
    </row>
    <row r="41" spans="1:15">
      <c r="B41">
        <v>17.48</v>
      </c>
      <c r="C41">
        <v>17.396666666666665</v>
      </c>
      <c r="D41">
        <v>20.76</v>
      </c>
      <c r="E41" s="41">
        <f t="shared" si="9"/>
        <v>3.3633333333333368</v>
      </c>
      <c r="F41" s="41">
        <f t="shared" si="10"/>
        <v>9.7170800669280716E-2</v>
      </c>
      <c r="G41" s="42">
        <f t="shared" si="11"/>
        <v>97.170800669280709</v>
      </c>
    </row>
    <row r="42" spans="1:15">
      <c r="B42">
        <v>17.28</v>
      </c>
      <c r="C42">
        <v>17.396666666666665</v>
      </c>
      <c r="D42">
        <v>20.69</v>
      </c>
      <c r="E42" s="41">
        <f t="shared" si="9"/>
        <v>3.2933333333333366</v>
      </c>
      <c r="F42" s="41">
        <f t="shared" si="10"/>
        <v>0.10200181062355547</v>
      </c>
      <c r="G42" s="42">
        <f t="shared" si="11"/>
        <v>102.00181062355547</v>
      </c>
    </row>
    <row r="43" spans="1:15">
      <c r="A43" t="s">
        <v>144</v>
      </c>
      <c r="B43">
        <v>18.5</v>
      </c>
      <c r="C43">
        <v>18.376666666666669</v>
      </c>
      <c r="D43">
        <v>23.49</v>
      </c>
      <c r="E43" s="41">
        <f t="shared" si="9"/>
        <v>5.1133333333333297</v>
      </c>
      <c r="F43" s="41">
        <f t="shared" si="10"/>
        <v>2.8889051881605086E-2</v>
      </c>
      <c r="G43" s="42">
        <f t="shared" si="11"/>
        <v>28.889051881605088</v>
      </c>
    </row>
    <row r="44" spans="1:15">
      <c r="B44">
        <v>18.350000000000001</v>
      </c>
      <c r="C44">
        <v>18.376666666666669</v>
      </c>
      <c r="D44">
        <v>23.45</v>
      </c>
      <c r="E44" s="41">
        <f t="shared" si="9"/>
        <v>5.0733333333333306</v>
      </c>
      <c r="F44" s="41">
        <f t="shared" si="10"/>
        <v>2.9701233678462623E-2</v>
      </c>
      <c r="G44" s="42">
        <f t="shared" si="11"/>
        <v>29.701233678462625</v>
      </c>
    </row>
    <row r="45" spans="1:15">
      <c r="B45">
        <v>18.28</v>
      </c>
      <c r="C45">
        <v>18.376666666666669</v>
      </c>
      <c r="D45">
        <v>23.41</v>
      </c>
      <c r="E45" s="41">
        <f t="shared" si="9"/>
        <v>5.0333333333333314</v>
      </c>
      <c r="F45" s="41">
        <f t="shared" si="10"/>
        <v>3.0536249013570237E-2</v>
      </c>
      <c r="G45" s="42">
        <f t="shared" si="11"/>
        <v>30.536249013570238</v>
      </c>
    </row>
    <row r="46" spans="1:15">
      <c r="A46" t="s">
        <v>145</v>
      </c>
      <c r="B46">
        <v>19.29</v>
      </c>
      <c r="C46">
        <v>19.213333333333335</v>
      </c>
      <c r="D46">
        <v>25.46</v>
      </c>
      <c r="E46" s="41">
        <f t="shared" si="9"/>
        <v>6.2466666666666661</v>
      </c>
      <c r="F46" s="41">
        <f t="shared" si="10"/>
        <v>1.3169399136792187E-2</v>
      </c>
      <c r="G46" s="42">
        <f t="shared" si="11"/>
        <v>13.169399136792187</v>
      </c>
    </row>
    <row r="47" spans="1:15">
      <c r="B47">
        <v>19.29</v>
      </c>
      <c r="C47">
        <v>19.213333333333335</v>
      </c>
      <c r="D47">
        <v>25.41</v>
      </c>
      <c r="E47" s="41">
        <f t="shared" si="9"/>
        <v>6.1966666666666654</v>
      </c>
      <c r="F47" s="41">
        <f t="shared" si="10"/>
        <v>1.3633816994387871E-2</v>
      </c>
      <c r="G47" s="42">
        <f t="shared" si="11"/>
        <v>13.633816994387871</v>
      </c>
    </row>
    <row r="48" spans="1:15">
      <c r="B48">
        <v>19.059999999999999</v>
      </c>
      <c r="C48">
        <v>19.213333333333335</v>
      </c>
      <c r="D48">
        <v>25.35</v>
      </c>
      <c r="E48" s="41">
        <f t="shared" si="9"/>
        <v>6.1366666666666667</v>
      </c>
      <c r="F48" s="41">
        <f t="shared" si="10"/>
        <v>1.4212787406223146E-2</v>
      </c>
      <c r="G48" s="42">
        <f t="shared" si="11"/>
        <v>14.212787406223146</v>
      </c>
    </row>
    <row r="49" spans="1:7">
      <c r="A49" t="s">
        <v>146</v>
      </c>
      <c r="B49">
        <v>19.23</v>
      </c>
      <c r="C49">
        <v>19.226666666666699</v>
      </c>
      <c r="D49" s="28">
        <v>25.749933216168721</v>
      </c>
      <c r="E49" s="41">
        <f t="shared" si="9"/>
        <v>6.5232665495020221</v>
      </c>
      <c r="F49" s="41">
        <f t="shared" si="10"/>
        <v>1.0871791099842567E-2</v>
      </c>
      <c r="G49" s="42">
        <f t="shared" si="11"/>
        <v>10.871791099842566</v>
      </c>
    </row>
    <row r="50" spans="1:7">
      <c r="B50">
        <v>19.260000000000002</v>
      </c>
      <c r="C50">
        <v>19.226666666666699</v>
      </c>
      <c r="D50" s="28">
        <v>25.213674677812609</v>
      </c>
      <c r="E50" s="41">
        <f t="shared" si="9"/>
        <v>5.9870080111459103</v>
      </c>
      <c r="F50" s="41">
        <f t="shared" si="10"/>
        <v>1.5766344229596736E-2</v>
      </c>
      <c r="G50" s="42">
        <f t="shared" si="11"/>
        <v>15.766344229596736</v>
      </c>
    </row>
    <row r="51" spans="1:7">
      <c r="B51">
        <v>19.190000000000001</v>
      </c>
      <c r="C51">
        <v>19.22666666666667</v>
      </c>
      <c r="D51" s="28">
        <v>25.451332149200699</v>
      </c>
      <c r="E51" s="41">
        <f t="shared" si="9"/>
        <v>6.2246654825340286</v>
      </c>
      <c r="F51" s="41">
        <f t="shared" si="10"/>
        <v>1.3371772427572705E-2</v>
      </c>
      <c r="G51" s="42">
        <f t="shared" si="11"/>
        <v>13.371772427572704</v>
      </c>
    </row>
    <row r="52" spans="1:7">
      <c r="A52" t="s">
        <v>147</v>
      </c>
      <c r="B52">
        <v>18.05</v>
      </c>
      <c r="C52">
        <v>18.086666666666662</v>
      </c>
      <c r="D52">
        <v>25.02</v>
      </c>
      <c r="E52" s="41">
        <f t="shared" si="9"/>
        <v>6.9333333333333371</v>
      </c>
      <c r="F52" s="41">
        <f t="shared" si="10"/>
        <v>8.181985334536129E-3</v>
      </c>
      <c r="G52" s="42">
        <f t="shared" si="11"/>
        <v>8.1819853345361295</v>
      </c>
    </row>
    <row r="53" spans="1:7">
      <c r="B53">
        <v>18.079999999999998</v>
      </c>
      <c r="C53">
        <v>18.086666666666662</v>
      </c>
      <c r="D53">
        <v>24.91</v>
      </c>
      <c r="E53" s="41">
        <f t="shared" si="9"/>
        <v>6.8233333333333377</v>
      </c>
      <c r="F53" s="41">
        <f t="shared" si="10"/>
        <v>8.8302296036965079E-3</v>
      </c>
      <c r="G53" s="42">
        <f t="shared" si="11"/>
        <v>8.8302296036965071</v>
      </c>
    </row>
    <row r="54" spans="1:7">
      <c r="B54">
        <v>18.13</v>
      </c>
      <c r="C54">
        <v>18.086666666666662</v>
      </c>
      <c r="D54">
        <v>24.85</v>
      </c>
      <c r="E54" s="41">
        <f t="shared" si="9"/>
        <v>6.763333333333339</v>
      </c>
      <c r="F54" s="41">
        <f t="shared" si="10"/>
        <v>9.205212022219262E-3</v>
      </c>
      <c r="G54" s="42">
        <f t="shared" si="11"/>
        <v>9.2052120222192624</v>
      </c>
    </row>
    <row r="55" spans="1:7">
      <c r="A55" t="s">
        <v>148</v>
      </c>
      <c r="B55" s="28">
        <v>17.552009999999999</v>
      </c>
      <c r="C55">
        <v>17.518443333333334</v>
      </c>
      <c r="D55">
        <v>20.07</v>
      </c>
      <c r="E55" s="41">
        <f t="shared" si="9"/>
        <v>2.5515566666666665</v>
      </c>
      <c r="F55" s="41">
        <f t="shared" si="10"/>
        <v>0.17057088693055847</v>
      </c>
      <c r="G55" s="42">
        <f t="shared" si="11"/>
        <v>170.57088693055846</v>
      </c>
    </row>
    <row r="56" spans="1:7">
      <c r="B56" s="28">
        <v>17.602360000000001</v>
      </c>
      <c r="C56">
        <v>17.518443333333334</v>
      </c>
      <c r="D56">
        <v>19.899999999999999</v>
      </c>
      <c r="E56" s="41">
        <f t="shared" si="9"/>
        <v>2.3815566666666648</v>
      </c>
      <c r="F56" s="41">
        <f t="shared" si="10"/>
        <v>0.19190222358212056</v>
      </c>
      <c r="G56" s="42">
        <f t="shared" si="11"/>
        <v>191.90222358212057</v>
      </c>
    </row>
    <row r="57" spans="1:7">
      <c r="B57" s="28">
        <v>17.400960000000001</v>
      </c>
      <c r="C57">
        <v>17.518443333333334</v>
      </c>
      <c r="D57">
        <v>19.829999999999998</v>
      </c>
      <c r="E57" s="41">
        <f t="shared" si="9"/>
        <v>2.3115566666666645</v>
      </c>
      <c r="F57" s="41">
        <f t="shared" si="10"/>
        <v>0.201442965718516</v>
      </c>
      <c r="G57" s="42">
        <f t="shared" si="11"/>
        <v>201.44296571851601</v>
      </c>
    </row>
    <row r="58" spans="1:7">
      <c r="A58" t="s">
        <v>149</v>
      </c>
      <c r="B58" s="28">
        <v>19.002089999999999</v>
      </c>
      <c r="C58">
        <v>18.875409400000002</v>
      </c>
      <c r="D58">
        <v>22.13</v>
      </c>
      <c r="E58" s="41">
        <f t="shared" si="9"/>
        <v>3.2545905999999967</v>
      </c>
      <c r="F58" s="41">
        <f t="shared" si="10"/>
        <v>0.10477812096935922</v>
      </c>
      <c r="G58" s="42">
        <f t="shared" si="11"/>
        <v>104.77812096935922</v>
      </c>
    </row>
    <row r="59" spans="1:7">
      <c r="B59" s="28">
        <v>18.848019000000004</v>
      </c>
      <c r="C59">
        <v>18.875409400000002</v>
      </c>
      <c r="D59">
        <v>22.09</v>
      </c>
      <c r="E59" s="41">
        <f t="shared" si="9"/>
        <v>3.2145905999999975</v>
      </c>
      <c r="F59" s="41">
        <f t="shared" si="10"/>
        <v>0.10772383489964008</v>
      </c>
      <c r="G59" s="42">
        <f t="shared" si="11"/>
        <v>107.72383489964008</v>
      </c>
    </row>
    <row r="60" spans="1:7">
      <c r="B60" s="28">
        <v>18.776119200000004</v>
      </c>
      <c r="C60">
        <v>18.875409400000002</v>
      </c>
      <c r="D60">
        <v>22.04</v>
      </c>
      <c r="E60" s="41">
        <f t="shared" si="9"/>
        <v>3.1645905999999968</v>
      </c>
      <c r="F60" s="41">
        <f t="shared" si="10"/>
        <v>0.11152270773327706</v>
      </c>
      <c r="G60" s="42">
        <f t="shared" si="11"/>
        <v>111.52270773327706</v>
      </c>
    </row>
    <row r="61" spans="1:7">
      <c r="A61" t="s">
        <v>150</v>
      </c>
      <c r="B61" s="28">
        <v>19.42503</v>
      </c>
      <c r="C61">
        <v>19.347826666666666</v>
      </c>
      <c r="D61">
        <v>24.64</v>
      </c>
      <c r="E61" s="41">
        <f t="shared" si="9"/>
        <v>5.2921733333333343</v>
      </c>
      <c r="F61" s="41">
        <f t="shared" si="10"/>
        <v>2.5520964558648284E-2</v>
      </c>
      <c r="G61" s="42">
        <f t="shared" si="11"/>
        <v>25.520964558648284</v>
      </c>
    </row>
    <row r="62" spans="1:7">
      <c r="B62" s="28">
        <v>19.42503</v>
      </c>
      <c r="C62">
        <v>19.347826666666666</v>
      </c>
      <c r="D62">
        <v>24.59</v>
      </c>
      <c r="E62" s="41">
        <f t="shared" si="9"/>
        <v>5.2421733333333336</v>
      </c>
      <c r="F62" s="41">
        <f t="shared" si="10"/>
        <v>2.6420959430167524E-2</v>
      </c>
      <c r="G62" s="42">
        <f t="shared" si="11"/>
        <v>26.420959430167525</v>
      </c>
    </row>
    <row r="63" spans="1:7">
      <c r="B63" s="28">
        <v>19.193419999999996</v>
      </c>
      <c r="C63">
        <v>19.347826666666666</v>
      </c>
      <c r="D63">
        <v>24.53</v>
      </c>
      <c r="E63" s="41">
        <f t="shared" si="9"/>
        <v>5.1821733333333349</v>
      </c>
      <c r="F63" s="41">
        <f t="shared" si="10"/>
        <v>2.754294557452196E-2</v>
      </c>
      <c r="G63" s="42">
        <f t="shared" si="11"/>
        <v>27.542945574521962</v>
      </c>
    </row>
    <row r="64" spans="1:7">
      <c r="A64" t="s">
        <v>151</v>
      </c>
      <c r="B64" s="28">
        <v>19.364609999999999</v>
      </c>
      <c r="C64">
        <v>19.361253333333334</v>
      </c>
      <c r="D64">
        <v>24.93</v>
      </c>
      <c r="E64" s="41">
        <f t="shared" si="9"/>
        <v>5.5687466666666658</v>
      </c>
      <c r="F64" s="41">
        <f t="shared" si="10"/>
        <v>2.1068820111213561E-2</v>
      </c>
      <c r="G64" s="42">
        <f t="shared" si="11"/>
        <v>21.068820111213562</v>
      </c>
    </row>
    <row r="65" spans="1:7">
      <c r="B65" s="28">
        <v>19.394819999999999</v>
      </c>
      <c r="C65">
        <v>19.361253333333334</v>
      </c>
      <c r="D65">
        <v>24.39</v>
      </c>
      <c r="E65" s="41">
        <f t="shared" si="9"/>
        <v>5.0287466666666667</v>
      </c>
      <c r="F65" s="41">
        <f t="shared" si="10"/>
        <v>3.0633485414069943E-2</v>
      </c>
      <c r="G65" s="42">
        <f t="shared" si="11"/>
        <v>30.633485414069945</v>
      </c>
    </row>
    <row r="66" spans="1:7">
      <c r="B66" s="28">
        <v>19.324330000000003</v>
      </c>
      <c r="C66">
        <v>19.361253333333334</v>
      </c>
      <c r="D66">
        <v>24.63</v>
      </c>
      <c r="E66" s="41">
        <f t="shared" si="9"/>
        <v>5.2687466666666651</v>
      </c>
      <c r="F66" s="41">
        <f t="shared" si="10"/>
        <v>2.5938760175689603E-2</v>
      </c>
      <c r="G66" s="42">
        <f t="shared" si="11"/>
        <v>25.938760175689602</v>
      </c>
    </row>
    <row r="67" spans="1:7">
      <c r="A67" t="s">
        <v>152</v>
      </c>
      <c r="B67" s="28">
        <v>19.415977070000004</v>
      </c>
      <c r="C67">
        <v>19.45541857466667</v>
      </c>
      <c r="D67">
        <v>26.91</v>
      </c>
      <c r="E67" s="41">
        <f t="shared" si="9"/>
        <v>7.4545814253333305</v>
      </c>
      <c r="F67" s="41">
        <f t="shared" si="10"/>
        <v>5.7009520189232506E-3</v>
      </c>
      <c r="G67" s="42">
        <f t="shared" si="11"/>
        <v>5.7009520189232505</v>
      </c>
    </row>
    <row r="68" spans="1:7">
      <c r="B68" s="28">
        <v>19.448247392000003</v>
      </c>
      <c r="C68">
        <v>19.45541857466667</v>
      </c>
      <c r="D68">
        <v>26.79</v>
      </c>
      <c r="E68" s="41">
        <f t="shared" si="9"/>
        <v>7.3345814253333295</v>
      </c>
      <c r="F68" s="41">
        <f t="shared" si="10"/>
        <v>6.1954233085522144E-3</v>
      </c>
      <c r="G68" s="42">
        <f t="shared" si="11"/>
        <v>6.1954233085522148</v>
      </c>
    </row>
    <row r="69" spans="1:7">
      <c r="B69" s="28">
        <v>19.502031262000003</v>
      </c>
      <c r="C69">
        <v>19.45541857466667</v>
      </c>
      <c r="D69">
        <v>26.73</v>
      </c>
      <c r="E69" s="41">
        <f t="shared" si="9"/>
        <v>7.2745814253333307</v>
      </c>
      <c r="F69" s="41">
        <f t="shared" si="10"/>
        <v>6.4585166730826947E-3</v>
      </c>
      <c r="G69" s="42">
        <f t="shared" si="11"/>
        <v>6.4585166730826948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4"/>
  <sheetViews>
    <sheetView zoomScale="85" zoomScaleNormal="85" workbookViewId="0"/>
  </sheetViews>
  <sheetFormatPr defaultRowHeight="15"/>
  <cols>
    <col min="1" max="1" width="39.140625" customWidth="1"/>
    <col min="2" max="2" width="15" customWidth="1"/>
    <col min="3" max="3" width="12.28515625" bestFit="1" customWidth="1"/>
    <col min="4" max="7" width="14.85546875" bestFit="1" customWidth="1"/>
    <col min="9" max="9" width="14.85546875" bestFit="1" customWidth="1"/>
    <col min="11" max="11" width="14.85546875" bestFit="1" customWidth="1"/>
    <col min="12" max="12" width="13.5703125" bestFit="1" customWidth="1"/>
    <col min="14" max="14" width="14.85546875" bestFit="1" customWidth="1"/>
    <col min="16" max="17" width="14.85546875" bestFit="1" customWidth="1"/>
    <col min="19" max="19" width="13.5703125" customWidth="1"/>
    <col min="21" max="22" width="14.85546875" bestFit="1" customWidth="1"/>
    <col min="26" max="27" width="14.85546875" bestFit="1" customWidth="1"/>
  </cols>
  <sheetData>
    <row r="1" spans="1:31" ht="15.75">
      <c r="A1" s="75" t="s">
        <v>529</v>
      </c>
    </row>
    <row r="3" spans="1:31">
      <c r="A3" s="55" t="s">
        <v>306</v>
      </c>
      <c r="B3" s="55" t="s">
        <v>307</v>
      </c>
      <c r="C3" s="55" t="s">
        <v>308</v>
      </c>
      <c r="D3" s="55" t="s">
        <v>309</v>
      </c>
      <c r="E3" s="55" t="s">
        <v>310</v>
      </c>
      <c r="F3" s="55" t="s">
        <v>311</v>
      </c>
      <c r="G3" s="55" t="s">
        <v>312</v>
      </c>
      <c r="H3" s="55" t="s">
        <v>313</v>
      </c>
      <c r="I3" s="55" t="s">
        <v>314</v>
      </c>
      <c r="J3" s="55" t="s">
        <v>315</v>
      </c>
      <c r="K3" s="55" t="s">
        <v>316</v>
      </c>
      <c r="L3" s="55" t="s">
        <v>317</v>
      </c>
      <c r="M3" s="55" t="s">
        <v>318</v>
      </c>
      <c r="N3" s="55" t="s">
        <v>319</v>
      </c>
      <c r="O3" s="55" t="s">
        <v>320</v>
      </c>
      <c r="P3" s="55" t="s">
        <v>321</v>
      </c>
      <c r="Q3" s="55" t="s">
        <v>322</v>
      </c>
      <c r="R3" s="55" t="s">
        <v>323</v>
      </c>
      <c r="S3" s="55" t="s">
        <v>324</v>
      </c>
      <c r="T3" s="55" t="s">
        <v>325</v>
      </c>
      <c r="U3" s="55" t="s">
        <v>331</v>
      </c>
      <c r="V3" s="55" t="s">
        <v>332</v>
      </c>
      <c r="W3" s="55" t="s">
        <v>333</v>
      </c>
      <c r="X3" s="55" t="s">
        <v>334</v>
      </c>
      <c r="Y3" s="55" t="s">
        <v>335</v>
      </c>
      <c r="Z3" s="55" t="s">
        <v>326</v>
      </c>
      <c r="AA3" s="55" t="s">
        <v>327</v>
      </c>
      <c r="AB3" s="55" t="s">
        <v>328</v>
      </c>
      <c r="AC3" s="55" t="s">
        <v>329</v>
      </c>
      <c r="AD3" s="55" t="s">
        <v>330</v>
      </c>
    </row>
    <row r="4" spans="1:31">
      <c r="A4" s="71">
        <v>106.87</v>
      </c>
      <c r="B4" s="71">
        <v>93.302999999999997</v>
      </c>
      <c r="C4" s="71">
        <v>86.1</v>
      </c>
      <c r="D4" s="71">
        <v>53.875</v>
      </c>
      <c r="E4" s="71">
        <v>37.829000000000001</v>
      </c>
      <c r="F4" s="71">
        <v>98.864000000000004</v>
      </c>
      <c r="G4" s="71">
        <v>71.652289999999994</v>
      </c>
      <c r="H4" s="71">
        <v>82.016999999999996</v>
      </c>
      <c r="I4" s="71">
        <v>80.997</v>
      </c>
      <c r="J4" s="71">
        <v>54.966999999999999</v>
      </c>
      <c r="K4" s="71">
        <v>99.879000000000005</v>
      </c>
      <c r="L4" s="71">
        <v>80.408000000000001</v>
      </c>
      <c r="M4" s="71">
        <v>82.772999999999996</v>
      </c>
      <c r="N4" s="71">
        <v>48.511000000000003</v>
      </c>
      <c r="O4" s="71">
        <v>36.814999999999998</v>
      </c>
      <c r="P4" s="71">
        <v>103.958</v>
      </c>
      <c r="Q4" s="71">
        <v>56.857999999999997</v>
      </c>
      <c r="R4" s="71">
        <v>62.139000000000003</v>
      </c>
      <c r="S4" s="71">
        <v>39.387999999999998</v>
      </c>
      <c r="T4" s="71">
        <v>25.323</v>
      </c>
      <c r="U4" s="71">
        <v>115.58499999999999</v>
      </c>
      <c r="V4" s="71">
        <v>100.438</v>
      </c>
      <c r="W4" s="71">
        <v>90.58</v>
      </c>
      <c r="X4" s="71">
        <v>45.78</v>
      </c>
      <c r="Y4" s="71">
        <v>35.378999999999998</v>
      </c>
      <c r="Z4" s="71">
        <v>114.866</v>
      </c>
      <c r="AA4" s="71">
        <v>109.749</v>
      </c>
      <c r="AB4" s="71">
        <v>98.796000000000006</v>
      </c>
      <c r="AC4" s="71">
        <v>54.042000000000002</v>
      </c>
      <c r="AD4" s="71">
        <v>23.608000000000001</v>
      </c>
      <c r="AE4" s="47"/>
    </row>
    <row r="5" spans="1:31">
      <c r="A5" s="71">
        <v>104.261</v>
      </c>
      <c r="B5" s="71">
        <v>86.423000000000002</v>
      </c>
      <c r="C5" s="71">
        <v>79.760000000000005</v>
      </c>
      <c r="D5" s="71">
        <v>53.564</v>
      </c>
      <c r="E5" s="71">
        <v>37.713999999999999</v>
      </c>
      <c r="F5" s="71">
        <v>92.341999999999999</v>
      </c>
      <c r="G5" s="71">
        <v>71.088189999999997</v>
      </c>
      <c r="H5" s="71">
        <v>77.066000000000003</v>
      </c>
      <c r="I5" s="71">
        <v>65.891000000000005</v>
      </c>
      <c r="J5" s="71">
        <v>54.170999999999999</v>
      </c>
      <c r="K5" s="71">
        <v>89.057000000000002</v>
      </c>
      <c r="L5" s="71">
        <v>69.716999999999999</v>
      </c>
      <c r="M5" s="71">
        <v>78.213999999999999</v>
      </c>
      <c r="N5" s="71">
        <v>41.816000000000003</v>
      </c>
      <c r="O5" s="71">
        <v>31.863</v>
      </c>
      <c r="P5" s="71">
        <v>98.561999999999998</v>
      </c>
      <c r="Q5" s="71">
        <v>47.945999999999998</v>
      </c>
      <c r="R5" s="71">
        <v>56.238999999999997</v>
      </c>
      <c r="S5" s="71">
        <v>39.042999999999999</v>
      </c>
      <c r="T5" s="71">
        <v>24.856999999999999</v>
      </c>
      <c r="U5" s="71">
        <v>114.98099999999999</v>
      </c>
      <c r="V5" s="71">
        <v>98.846999999999994</v>
      </c>
      <c r="W5" s="71">
        <v>70.492999999999995</v>
      </c>
      <c r="X5" s="71">
        <v>43.128</v>
      </c>
      <c r="Y5" s="71">
        <v>31.314</v>
      </c>
      <c r="Z5" s="71">
        <v>108.905</v>
      </c>
      <c r="AA5" s="71">
        <v>99.049000000000007</v>
      </c>
      <c r="AB5" s="71">
        <v>96.061009999999996</v>
      </c>
      <c r="AC5" s="71">
        <v>53.441000000000003</v>
      </c>
      <c r="AD5" s="71">
        <v>23.526</v>
      </c>
      <c r="AE5" s="47"/>
    </row>
    <row r="6" spans="1:31">
      <c r="A6" s="71">
        <v>101.514</v>
      </c>
      <c r="B6" s="71">
        <v>82.478999999999999</v>
      </c>
      <c r="C6" s="71">
        <v>79.701999999999998</v>
      </c>
      <c r="D6" s="71">
        <v>51.392000000000003</v>
      </c>
      <c r="E6" s="71">
        <v>35.917000000000002</v>
      </c>
      <c r="F6" s="71">
        <v>89.822000000000003</v>
      </c>
      <c r="G6" s="71">
        <v>67.436019999999999</v>
      </c>
      <c r="H6" s="71">
        <v>71.959000000000003</v>
      </c>
      <c r="I6" s="71">
        <v>64.260000000000005</v>
      </c>
      <c r="J6" s="71">
        <v>44.621000000000002</v>
      </c>
      <c r="K6" s="71">
        <v>88.106999999999999</v>
      </c>
      <c r="L6" s="71">
        <v>61.960999999999999</v>
      </c>
      <c r="M6" s="71">
        <v>76.335999999999999</v>
      </c>
      <c r="N6" s="71">
        <v>37.811</v>
      </c>
      <c r="O6" s="71">
        <v>30.591999999999999</v>
      </c>
      <c r="P6" s="71">
        <v>96.308999999999997</v>
      </c>
      <c r="Q6" s="71">
        <v>47.216000000000001</v>
      </c>
      <c r="R6" s="71">
        <v>55.635899999999999</v>
      </c>
      <c r="S6" s="71">
        <v>38.435000000000002</v>
      </c>
      <c r="T6" s="71">
        <v>23.49</v>
      </c>
      <c r="U6" s="71">
        <v>100.68300000000001</v>
      </c>
      <c r="V6" s="71">
        <v>95.206999999999994</v>
      </c>
      <c r="W6" s="71">
        <v>68.823999999999998</v>
      </c>
      <c r="X6" s="71">
        <v>41.191000000000003</v>
      </c>
      <c r="Y6" s="71">
        <v>30.821999999999999</v>
      </c>
      <c r="Z6" s="71">
        <v>107.167</v>
      </c>
      <c r="AA6" s="71">
        <v>86.043000000000006</v>
      </c>
      <c r="AB6" s="71">
        <v>89.016170000000002</v>
      </c>
      <c r="AC6" s="71">
        <v>51.298000000000002</v>
      </c>
      <c r="AD6" s="71">
        <v>21.5</v>
      </c>
      <c r="AE6" s="47"/>
    </row>
    <row r="7" spans="1:31">
      <c r="A7" s="71">
        <v>99.715000000000003</v>
      </c>
      <c r="B7" s="71">
        <v>75.304000000000002</v>
      </c>
      <c r="C7" s="71">
        <v>69.402000000000001</v>
      </c>
      <c r="D7" s="71">
        <v>51.209000000000003</v>
      </c>
      <c r="E7" s="71">
        <v>33.972999999999999</v>
      </c>
      <c r="F7" s="71">
        <v>88.429000000000002</v>
      </c>
      <c r="G7" s="71">
        <v>62.54027</v>
      </c>
      <c r="H7" s="71">
        <v>65.915000000000006</v>
      </c>
      <c r="I7" s="71">
        <v>51.655000000000001</v>
      </c>
      <c r="J7" s="71">
        <v>44.23</v>
      </c>
      <c r="K7" s="71">
        <v>76.998999999999995</v>
      </c>
      <c r="L7" s="71">
        <v>61.280999999999999</v>
      </c>
      <c r="M7" s="71">
        <v>72.063999999999993</v>
      </c>
      <c r="N7" s="71">
        <v>35.036000000000001</v>
      </c>
      <c r="O7" s="71">
        <v>30.373000000000001</v>
      </c>
      <c r="P7" s="71">
        <v>87.745999999999995</v>
      </c>
      <c r="Q7" s="71">
        <v>46.279000000000003</v>
      </c>
      <c r="R7" s="71">
        <v>51.392000000000003</v>
      </c>
      <c r="S7" s="71">
        <v>37.728999999999999</v>
      </c>
      <c r="T7" s="71">
        <v>23.457000000000001</v>
      </c>
      <c r="U7" s="71">
        <v>97.084000000000003</v>
      </c>
      <c r="V7" s="71">
        <v>92.991</v>
      </c>
      <c r="W7" s="71">
        <v>67.760999999999996</v>
      </c>
      <c r="X7" s="71">
        <v>40.320999999999998</v>
      </c>
      <c r="Y7" s="71">
        <v>29.731000000000002</v>
      </c>
      <c r="Z7" s="71">
        <v>104.866</v>
      </c>
      <c r="AA7" s="71">
        <v>85.837000000000003</v>
      </c>
      <c r="AB7" s="71">
        <v>86.646770000000004</v>
      </c>
      <c r="AC7" s="71">
        <v>51.16</v>
      </c>
      <c r="AD7" s="71">
        <v>21.003</v>
      </c>
      <c r="AE7" s="47"/>
    </row>
    <row r="8" spans="1:31">
      <c r="A8" s="71">
        <v>95.304000000000002</v>
      </c>
      <c r="B8" s="71">
        <v>64.129000000000005</v>
      </c>
      <c r="C8" s="71">
        <v>69.218000000000004</v>
      </c>
      <c r="D8" s="71">
        <v>49.695999999999998</v>
      </c>
      <c r="E8" s="71">
        <v>33.563000000000002</v>
      </c>
      <c r="F8" s="71">
        <v>82.028999999999996</v>
      </c>
      <c r="G8" s="71">
        <v>60.626579999999997</v>
      </c>
      <c r="H8" s="71">
        <v>64.819999999999993</v>
      </c>
      <c r="I8" s="71">
        <v>51.49</v>
      </c>
      <c r="J8" s="71">
        <v>43.48</v>
      </c>
      <c r="K8" s="71">
        <v>76.876000000000005</v>
      </c>
      <c r="L8" s="71">
        <v>58.514000000000003</v>
      </c>
      <c r="M8" s="71">
        <v>71.453999999999994</v>
      </c>
      <c r="N8" s="71">
        <v>34.622</v>
      </c>
      <c r="O8" s="71">
        <v>30.228000000000002</v>
      </c>
      <c r="P8" s="71">
        <v>82.388999999999996</v>
      </c>
      <c r="Q8" s="71">
        <v>44.573999999999998</v>
      </c>
      <c r="R8" s="71">
        <v>50.530999999999999</v>
      </c>
      <c r="S8" s="71">
        <v>37.417000000000002</v>
      </c>
      <c r="T8" s="71">
        <v>23.382999999999999</v>
      </c>
      <c r="U8" s="71">
        <v>95.138999999999996</v>
      </c>
      <c r="V8" s="71">
        <v>91.596999999999994</v>
      </c>
      <c r="W8" s="71">
        <v>66.448999999999998</v>
      </c>
      <c r="X8" s="71">
        <v>39.689</v>
      </c>
      <c r="Y8" s="71">
        <v>28.683</v>
      </c>
      <c r="Z8" s="71">
        <v>98.905000000000001</v>
      </c>
      <c r="AA8" s="71">
        <v>83.313000000000002</v>
      </c>
      <c r="AB8" s="71">
        <v>85.377380000000002</v>
      </c>
      <c r="AC8" s="71">
        <v>48.881</v>
      </c>
      <c r="AD8" s="71">
        <v>20.898</v>
      </c>
      <c r="AE8" s="47"/>
    </row>
    <row r="9" spans="1:31">
      <c r="A9" s="71">
        <v>95.114999999999995</v>
      </c>
      <c r="B9" s="71">
        <v>61.753</v>
      </c>
      <c r="C9" s="71">
        <v>67.542000000000002</v>
      </c>
      <c r="D9" s="71">
        <v>47.978000000000002</v>
      </c>
      <c r="E9" s="71">
        <v>33.043999999999997</v>
      </c>
      <c r="F9" s="71">
        <v>80.548000000000002</v>
      </c>
      <c r="G9" s="71">
        <v>59.210999999999999</v>
      </c>
      <c r="H9" s="71">
        <v>64.024000000000001</v>
      </c>
      <c r="I9" s="71">
        <v>51.281999999999996</v>
      </c>
      <c r="J9" s="71">
        <v>39.706000000000003</v>
      </c>
      <c r="K9" s="71">
        <v>74.305000000000007</v>
      </c>
      <c r="L9" s="71">
        <v>56.018000000000001</v>
      </c>
      <c r="M9" s="71">
        <v>65.33</v>
      </c>
      <c r="N9" s="71">
        <v>34.475000000000001</v>
      </c>
      <c r="O9" s="71">
        <v>30.03</v>
      </c>
      <c r="P9" s="71">
        <v>79.923000000000002</v>
      </c>
      <c r="Q9" s="71">
        <v>43.756999999999998</v>
      </c>
      <c r="R9" s="71">
        <v>48.031999999999996</v>
      </c>
      <c r="S9" s="71">
        <v>37.034999999999997</v>
      </c>
      <c r="T9" s="71">
        <v>22.641999999999999</v>
      </c>
      <c r="U9" s="71">
        <v>86.641999999999996</v>
      </c>
      <c r="V9" s="71">
        <v>88.991</v>
      </c>
      <c r="W9" s="71">
        <v>64.147999999999996</v>
      </c>
      <c r="X9" s="71">
        <v>39.514000000000003</v>
      </c>
      <c r="Y9" s="71">
        <v>25.896000000000001</v>
      </c>
      <c r="Z9" s="71">
        <v>97.167000000000002</v>
      </c>
      <c r="AA9" s="71">
        <v>82.284000000000006</v>
      </c>
      <c r="AB9" s="71">
        <v>84.986180000000004</v>
      </c>
      <c r="AC9" s="71">
        <v>44.505000000000003</v>
      </c>
      <c r="AD9" s="71">
        <v>20.07</v>
      </c>
      <c r="AE9" s="47"/>
    </row>
    <row r="10" spans="1:31">
      <c r="A10" s="71">
        <v>88.891000000000005</v>
      </c>
      <c r="B10" s="71">
        <v>59.573</v>
      </c>
      <c r="C10" s="71">
        <v>66.150000000000006</v>
      </c>
      <c r="D10" s="71">
        <v>46.468000000000004</v>
      </c>
      <c r="E10" s="71">
        <v>32.639000000000003</v>
      </c>
      <c r="F10" s="71">
        <v>76.265000000000001</v>
      </c>
      <c r="G10" s="71">
        <v>56.052999999999997</v>
      </c>
      <c r="H10" s="71">
        <v>62.067999999999998</v>
      </c>
      <c r="I10" s="71">
        <v>50.957000000000001</v>
      </c>
      <c r="J10" s="71">
        <v>39.085000000000001</v>
      </c>
      <c r="K10" s="71">
        <v>72.004000000000005</v>
      </c>
      <c r="L10" s="71">
        <v>54.506</v>
      </c>
      <c r="M10" s="71">
        <v>64.522000000000006</v>
      </c>
      <c r="N10" s="71">
        <v>33.593000000000004</v>
      </c>
      <c r="O10" s="71">
        <v>26.960999999999999</v>
      </c>
      <c r="P10" s="71">
        <v>76.325000000000003</v>
      </c>
      <c r="Q10" s="71">
        <v>43.667000000000002</v>
      </c>
      <c r="R10" s="71">
        <v>46.648000000000003</v>
      </c>
      <c r="S10" s="71">
        <v>36</v>
      </c>
      <c r="T10" s="71">
        <v>21.742000000000001</v>
      </c>
      <c r="U10" s="71">
        <v>86.521000000000001</v>
      </c>
      <c r="V10" s="71">
        <v>87.596999999999994</v>
      </c>
      <c r="W10" s="71">
        <v>64.011200000000002</v>
      </c>
      <c r="X10" s="71">
        <v>36.631</v>
      </c>
      <c r="Y10" s="71">
        <v>25.074000000000002</v>
      </c>
      <c r="Z10" s="71">
        <v>90.28</v>
      </c>
      <c r="AA10" s="71">
        <v>79.971999999999994</v>
      </c>
      <c r="AB10" s="71">
        <v>83.875550000000004</v>
      </c>
      <c r="AC10" s="71">
        <v>44.372</v>
      </c>
      <c r="AD10" s="71">
        <v>19.850999999999999</v>
      </c>
      <c r="AE10" s="47"/>
    </row>
    <row r="11" spans="1:31">
      <c r="A11" s="71">
        <v>80.819000000000003</v>
      </c>
      <c r="B11" s="71">
        <v>55.753999999999998</v>
      </c>
      <c r="C11" s="71">
        <v>64.277000000000001</v>
      </c>
      <c r="D11" s="71">
        <v>44.287999999999997</v>
      </c>
      <c r="E11" s="71">
        <v>32.497</v>
      </c>
      <c r="F11" s="71">
        <v>74.841999999999999</v>
      </c>
      <c r="G11" s="71">
        <v>51.152000000000001</v>
      </c>
      <c r="H11" s="71">
        <v>61.960999999999999</v>
      </c>
      <c r="I11" s="71">
        <v>50.093000000000004</v>
      </c>
      <c r="J11" s="71">
        <v>38.968000000000004</v>
      </c>
      <c r="K11" s="71">
        <v>64.718000000000004</v>
      </c>
      <c r="L11" s="71">
        <v>52.573</v>
      </c>
      <c r="M11" s="71">
        <v>64.381</v>
      </c>
      <c r="N11" s="71">
        <v>32.072000000000003</v>
      </c>
      <c r="O11" s="71">
        <v>26.879000000000001</v>
      </c>
      <c r="P11" s="71">
        <v>73.501999999999995</v>
      </c>
      <c r="Q11" s="71">
        <v>41.866</v>
      </c>
      <c r="R11" s="71">
        <v>46.573</v>
      </c>
      <c r="S11" s="71">
        <v>34.999000000000002</v>
      </c>
      <c r="T11" s="71">
        <v>21.344999999999999</v>
      </c>
      <c r="U11" s="71">
        <v>85.522999999999996</v>
      </c>
      <c r="V11" s="71">
        <v>87.028000000000006</v>
      </c>
      <c r="W11" s="71">
        <v>63.927999999999997</v>
      </c>
      <c r="X11" s="71">
        <v>36.048000000000002</v>
      </c>
      <c r="Y11" s="71">
        <v>24.823</v>
      </c>
      <c r="Z11" s="71">
        <v>82.355000000000004</v>
      </c>
      <c r="AA11" s="71">
        <v>74.161000000000001</v>
      </c>
      <c r="AB11" s="71">
        <v>78.616280000000003</v>
      </c>
      <c r="AC11" s="71">
        <v>43.338000000000001</v>
      </c>
      <c r="AD11" s="71">
        <v>19.163</v>
      </c>
      <c r="AE11" s="47"/>
    </row>
    <row r="12" spans="1:31">
      <c r="A12" s="71">
        <v>79.111000000000004</v>
      </c>
      <c r="B12" s="71">
        <v>51.131999999999998</v>
      </c>
      <c r="C12" s="71">
        <v>64.081000000000003</v>
      </c>
      <c r="D12" s="71">
        <v>43.253999999999998</v>
      </c>
      <c r="E12" s="71">
        <v>30.382999999999999</v>
      </c>
      <c r="F12" s="71">
        <v>74.165999999999997</v>
      </c>
      <c r="G12" s="71">
        <v>50.915999999999997</v>
      </c>
      <c r="H12" s="71">
        <v>61.804000000000002</v>
      </c>
      <c r="I12" s="71">
        <v>49.676000000000002</v>
      </c>
      <c r="J12" s="71">
        <v>38.212000000000003</v>
      </c>
      <c r="K12" s="71">
        <v>64.171999999999997</v>
      </c>
      <c r="L12" s="71">
        <v>52.139000000000003</v>
      </c>
      <c r="M12" s="71">
        <v>63.716099999999997</v>
      </c>
      <c r="N12" s="71">
        <v>31.169599999999999</v>
      </c>
      <c r="O12" s="71">
        <v>26.414999999999999</v>
      </c>
      <c r="P12" s="71">
        <v>73.34</v>
      </c>
      <c r="Q12" s="71">
        <v>38.847000000000001</v>
      </c>
      <c r="R12" s="71">
        <v>44.244999999999997</v>
      </c>
      <c r="S12" s="71">
        <v>34.271000000000001</v>
      </c>
      <c r="T12" s="71">
        <v>20.164000000000001</v>
      </c>
      <c r="U12" s="71">
        <v>84.188000000000002</v>
      </c>
      <c r="V12" s="71">
        <v>83.96</v>
      </c>
      <c r="W12" s="71">
        <v>63.125999999999998</v>
      </c>
      <c r="X12" s="71">
        <v>35.11</v>
      </c>
      <c r="Y12" s="71">
        <v>24.427</v>
      </c>
      <c r="Z12" s="71">
        <v>81.155000000000001</v>
      </c>
      <c r="AA12" s="71">
        <v>71.932000000000002</v>
      </c>
      <c r="AB12" s="71">
        <v>77.415999999999997</v>
      </c>
      <c r="AC12" s="71">
        <v>43.058</v>
      </c>
      <c r="AD12" s="71">
        <v>19.027000000000001</v>
      </c>
      <c r="AE12" s="47"/>
    </row>
    <row r="13" spans="1:31">
      <c r="A13" s="71">
        <v>78.713999999999999</v>
      </c>
      <c r="B13" s="71">
        <v>51.094999999999999</v>
      </c>
      <c r="C13" s="71">
        <v>63.561</v>
      </c>
      <c r="D13" s="71">
        <v>42.415999999999997</v>
      </c>
      <c r="E13" s="71">
        <v>30.305</v>
      </c>
      <c r="F13" s="71">
        <v>69.418999999999997</v>
      </c>
      <c r="G13" s="71">
        <v>50.786999999999999</v>
      </c>
      <c r="H13" s="71">
        <v>61.148000000000003</v>
      </c>
      <c r="I13" s="71">
        <v>49.244999999999997</v>
      </c>
      <c r="J13" s="71">
        <v>37.817999999999998</v>
      </c>
      <c r="K13" s="71">
        <v>64.061000000000007</v>
      </c>
      <c r="L13" s="71">
        <v>50.545000000000002</v>
      </c>
      <c r="M13" s="71">
        <v>56.359099999999998</v>
      </c>
      <c r="N13" s="71">
        <v>29.573</v>
      </c>
      <c r="O13" s="71">
        <v>25.321999999999999</v>
      </c>
      <c r="P13" s="71">
        <v>73.245000000000005</v>
      </c>
      <c r="Q13" s="71">
        <v>38.28</v>
      </c>
      <c r="R13" s="71">
        <v>43.959000000000003</v>
      </c>
      <c r="S13" s="71">
        <v>33.094999999999999</v>
      </c>
      <c r="T13" s="71">
        <v>19.783000000000001</v>
      </c>
      <c r="U13" s="71">
        <v>83.665000000000006</v>
      </c>
      <c r="V13" s="71">
        <v>79.483000000000004</v>
      </c>
      <c r="W13" s="71">
        <v>62.619</v>
      </c>
      <c r="X13" s="71">
        <v>34.954999999999998</v>
      </c>
      <c r="Y13" s="71">
        <v>24.251999999999999</v>
      </c>
      <c r="Z13" s="71">
        <v>77.712999999999994</v>
      </c>
      <c r="AA13" s="71">
        <v>70.988</v>
      </c>
      <c r="AB13" s="71">
        <v>74.838999999999999</v>
      </c>
      <c r="AC13" s="71">
        <v>42.378</v>
      </c>
      <c r="AD13" s="71">
        <v>18.542000000000002</v>
      </c>
      <c r="AE13" s="47"/>
    </row>
    <row r="14" spans="1:31">
      <c r="A14" s="71">
        <v>78.507000000000005</v>
      </c>
      <c r="B14" s="71">
        <v>50.963999999999999</v>
      </c>
      <c r="C14" s="71">
        <v>61.023000000000003</v>
      </c>
      <c r="D14" s="71">
        <v>41.302999999999997</v>
      </c>
      <c r="E14" s="71">
        <v>30.091000000000001</v>
      </c>
      <c r="F14" s="71">
        <v>69.320999999999998</v>
      </c>
      <c r="G14" s="71">
        <v>50.3</v>
      </c>
      <c r="H14" s="71">
        <v>59.491999999999997</v>
      </c>
      <c r="I14" s="71">
        <v>48.335000000000001</v>
      </c>
      <c r="J14" s="71">
        <v>37.665999999999997</v>
      </c>
      <c r="K14" s="71">
        <v>60.978999999999999</v>
      </c>
      <c r="L14" s="71">
        <v>48.240099999999998</v>
      </c>
      <c r="M14" s="71">
        <v>56.173000000000002</v>
      </c>
      <c r="N14" s="71">
        <v>29.538</v>
      </c>
      <c r="O14" s="71">
        <v>24.564</v>
      </c>
      <c r="P14" s="71">
        <v>68.070999999999998</v>
      </c>
      <c r="Q14" s="71">
        <v>37.228000000000002</v>
      </c>
      <c r="R14" s="71">
        <v>42.405000000000001</v>
      </c>
      <c r="S14" s="71">
        <v>32.798000000000002</v>
      </c>
      <c r="T14" s="71">
        <v>19.581</v>
      </c>
      <c r="U14" s="71">
        <v>82.21</v>
      </c>
      <c r="V14" s="71">
        <v>77.251999999999995</v>
      </c>
      <c r="W14" s="71">
        <v>61.85</v>
      </c>
      <c r="X14" s="71">
        <v>34.844000000000001</v>
      </c>
      <c r="Y14" s="71">
        <v>22.623999999999999</v>
      </c>
      <c r="Z14" s="71">
        <v>75.811999999999998</v>
      </c>
      <c r="AA14" s="71">
        <v>70.674000000000007</v>
      </c>
      <c r="AB14" s="71">
        <v>67.900000000000006</v>
      </c>
      <c r="AC14" s="71">
        <v>42.088999999999999</v>
      </c>
      <c r="AD14" s="71">
        <v>18.23</v>
      </c>
      <c r="AE14" s="47"/>
    </row>
    <row r="15" spans="1:31">
      <c r="A15" s="71">
        <v>75.95</v>
      </c>
      <c r="B15" s="71">
        <v>49.851999999999997</v>
      </c>
      <c r="C15" s="71">
        <v>59.487000000000002</v>
      </c>
      <c r="D15" s="71">
        <v>40.104999999999997</v>
      </c>
      <c r="E15" s="71">
        <v>27.422999999999998</v>
      </c>
      <c r="F15" s="71">
        <v>68.512</v>
      </c>
      <c r="G15" s="71">
        <v>49.093000000000004</v>
      </c>
      <c r="H15" s="71">
        <v>57.176000000000002</v>
      </c>
      <c r="I15" s="71">
        <v>46.530999999999999</v>
      </c>
      <c r="J15" s="71">
        <v>35.200000000000003</v>
      </c>
      <c r="K15" s="71">
        <v>58.889000000000003</v>
      </c>
      <c r="L15" s="71">
        <v>46.906999999999996</v>
      </c>
      <c r="M15" s="71">
        <v>55.453000000000003</v>
      </c>
      <c r="N15" s="71">
        <v>29.446000000000002</v>
      </c>
      <c r="O15" s="71">
        <v>24.45</v>
      </c>
      <c r="P15" s="71">
        <v>64.805999999999997</v>
      </c>
      <c r="Q15" s="71">
        <v>37.01</v>
      </c>
      <c r="R15" s="71">
        <v>41.637999999999998</v>
      </c>
      <c r="S15" s="71">
        <v>32.622</v>
      </c>
      <c r="T15" s="71">
        <v>19.559999999999999</v>
      </c>
      <c r="U15" s="71">
        <v>77.331000000000003</v>
      </c>
      <c r="V15" s="71">
        <v>75.033000000000001</v>
      </c>
      <c r="W15" s="71">
        <v>60.825000000000003</v>
      </c>
      <c r="X15" s="71">
        <v>34.24</v>
      </c>
      <c r="Y15" s="71">
        <v>21.646999999999998</v>
      </c>
      <c r="Z15" s="71">
        <v>75.447999999999993</v>
      </c>
      <c r="AA15" s="71">
        <v>66.444000000000003</v>
      </c>
      <c r="AB15" s="71">
        <v>67.018000000000001</v>
      </c>
      <c r="AC15" s="71">
        <v>41.365000000000002</v>
      </c>
      <c r="AD15" s="71">
        <v>18.155000000000001</v>
      </c>
      <c r="AE15" s="47"/>
    </row>
    <row r="16" spans="1:31">
      <c r="A16" s="71">
        <v>75.269000000000005</v>
      </c>
      <c r="B16" s="71">
        <v>49.747999999999998</v>
      </c>
      <c r="C16" s="71">
        <v>59.121000000000002</v>
      </c>
      <c r="D16" s="71">
        <v>39.994</v>
      </c>
      <c r="E16" s="71">
        <v>26.169</v>
      </c>
      <c r="F16" s="71">
        <v>68.066000000000003</v>
      </c>
      <c r="G16" s="71">
        <v>47.121000000000002</v>
      </c>
      <c r="H16" s="71">
        <v>57.1</v>
      </c>
      <c r="I16" s="71">
        <v>44.322000000000003</v>
      </c>
      <c r="J16" s="71">
        <v>32.935000000000002</v>
      </c>
      <c r="K16" s="71">
        <v>56.603000000000002</v>
      </c>
      <c r="L16" s="71">
        <v>44.822000000000003</v>
      </c>
      <c r="M16" s="71">
        <v>53.463999999999999</v>
      </c>
      <c r="N16" s="71">
        <v>29.298999999999999</v>
      </c>
      <c r="O16" s="71">
        <v>24.372</v>
      </c>
      <c r="P16" s="71">
        <v>64.519000000000005</v>
      </c>
      <c r="Q16" s="71">
        <v>36.063000000000002</v>
      </c>
      <c r="R16" s="71">
        <v>41.156999999999996</v>
      </c>
      <c r="S16" s="71">
        <v>32.124000000000002</v>
      </c>
      <c r="T16" s="71">
        <v>19.495999999999999</v>
      </c>
      <c r="U16" s="71">
        <v>76.23</v>
      </c>
      <c r="V16" s="71">
        <v>71.483000000000004</v>
      </c>
      <c r="W16" s="71">
        <v>60.536999999999999</v>
      </c>
      <c r="X16" s="71">
        <v>33.716000000000001</v>
      </c>
      <c r="Y16" s="71">
        <v>20.937999999999999</v>
      </c>
      <c r="Z16" s="71">
        <v>75.366</v>
      </c>
      <c r="AA16" s="71">
        <v>65.311999999999998</v>
      </c>
      <c r="AB16" s="71">
        <v>66.435000000000002</v>
      </c>
      <c r="AC16" s="71">
        <v>41.094000000000001</v>
      </c>
      <c r="AD16" s="71">
        <v>17.558</v>
      </c>
      <c r="AE16" s="47"/>
    </row>
    <row r="17" spans="1:31">
      <c r="A17" s="71">
        <v>74.465000000000003</v>
      </c>
      <c r="B17" s="71">
        <v>49.746000000000002</v>
      </c>
      <c r="C17" s="71">
        <v>58.668999999999997</v>
      </c>
      <c r="D17" s="71">
        <v>39.594000000000001</v>
      </c>
      <c r="E17" s="71">
        <v>25.417999999999999</v>
      </c>
      <c r="F17" s="71">
        <v>63.39</v>
      </c>
      <c r="G17" s="71">
        <v>46.878</v>
      </c>
      <c r="H17" s="71">
        <v>56.506999999999998</v>
      </c>
      <c r="I17" s="71">
        <v>44.113</v>
      </c>
      <c r="J17" s="71">
        <v>32.856999999999999</v>
      </c>
      <c r="K17" s="71">
        <v>55.95</v>
      </c>
      <c r="L17" s="71">
        <v>43.648000000000003</v>
      </c>
      <c r="M17" s="71">
        <v>53.356000000000002</v>
      </c>
      <c r="N17" s="71">
        <v>29.271000000000001</v>
      </c>
      <c r="O17" s="71">
        <v>23.844999999999999</v>
      </c>
      <c r="P17" s="71">
        <v>60.11</v>
      </c>
      <c r="Q17" s="71">
        <v>34.558999999999997</v>
      </c>
      <c r="R17" s="71">
        <v>40.146999999999998</v>
      </c>
      <c r="S17" s="71">
        <v>32.097999999999999</v>
      </c>
      <c r="T17" s="71">
        <v>19.492000000000001</v>
      </c>
      <c r="U17" s="71">
        <v>76.015000000000001</v>
      </c>
      <c r="V17" s="71">
        <v>69.251999999999995</v>
      </c>
      <c r="W17" s="71">
        <v>60.253</v>
      </c>
      <c r="X17" s="71">
        <v>33.558999999999997</v>
      </c>
      <c r="Y17" s="71">
        <v>20.373000000000001</v>
      </c>
      <c r="Z17" s="71">
        <v>71.397999999999996</v>
      </c>
      <c r="AA17" s="71">
        <v>62.676000000000002</v>
      </c>
      <c r="AB17" s="71">
        <v>65.775999999999996</v>
      </c>
      <c r="AC17" s="71">
        <v>39.265999999999998</v>
      </c>
      <c r="AD17" s="71">
        <v>17.152000000000001</v>
      </c>
      <c r="AE17" s="47"/>
    </row>
    <row r="18" spans="1:31">
      <c r="A18" s="71">
        <v>73.453999999999994</v>
      </c>
      <c r="B18" s="71">
        <v>49.563000000000002</v>
      </c>
      <c r="C18" s="71">
        <v>56.392000000000003</v>
      </c>
      <c r="D18" s="71">
        <v>39.149000000000001</v>
      </c>
      <c r="E18" s="71">
        <v>25.379000000000001</v>
      </c>
      <c r="F18" s="71">
        <v>62.793999999999997</v>
      </c>
      <c r="G18" s="71">
        <v>46.6</v>
      </c>
      <c r="H18" s="71">
        <v>53.924999999999997</v>
      </c>
      <c r="I18" s="71">
        <v>42.954999999999998</v>
      </c>
      <c r="J18" s="71">
        <v>32.734999999999999</v>
      </c>
      <c r="K18" s="71">
        <v>54.837000000000003</v>
      </c>
      <c r="L18" s="71">
        <v>43.338000000000001</v>
      </c>
      <c r="M18" s="71">
        <v>51.045000000000002</v>
      </c>
      <c r="N18" s="71">
        <v>28.797999999999998</v>
      </c>
      <c r="O18" s="71">
        <v>22.922000000000001</v>
      </c>
      <c r="P18" s="71">
        <v>59.728999999999999</v>
      </c>
      <c r="Q18" s="71">
        <v>34.195999999999998</v>
      </c>
      <c r="R18" s="71">
        <v>40.082000000000001</v>
      </c>
      <c r="S18" s="71">
        <v>31.282</v>
      </c>
      <c r="T18" s="71">
        <v>19.41</v>
      </c>
      <c r="U18" s="71">
        <v>74.55</v>
      </c>
      <c r="V18" s="71">
        <v>67.033000000000001</v>
      </c>
      <c r="W18" s="71">
        <v>60.085999999999999</v>
      </c>
      <c r="X18" s="71">
        <v>33.484000000000002</v>
      </c>
      <c r="Y18" s="71">
        <v>19.576000000000001</v>
      </c>
      <c r="Z18" s="71">
        <v>70.204999999999998</v>
      </c>
      <c r="AA18" s="71">
        <v>62.517000000000003</v>
      </c>
      <c r="AB18" s="71">
        <v>63.331000000000003</v>
      </c>
      <c r="AC18" s="71">
        <v>38.975000000000001</v>
      </c>
      <c r="AD18" s="71">
        <v>17.108000000000001</v>
      </c>
      <c r="AE18" s="47"/>
    </row>
    <row r="19" spans="1:31">
      <c r="A19" s="71">
        <v>71.778999999999996</v>
      </c>
      <c r="B19" s="71">
        <v>47.927999999999997</v>
      </c>
      <c r="C19" s="71">
        <v>55.131999999999998</v>
      </c>
      <c r="D19" s="71">
        <v>37.816000000000003</v>
      </c>
      <c r="E19" s="71">
        <v>24.856999999999999</v>
      </c>
      <c r="F19" s="71">
        <v>61.920999999999999</v>
      </c>
      <c r="G19" s="71">
        <v>45.216000000000001</v>
      </c>
      <c r="H19" s="71">
        <v>52.344000000000001</v>
      </c>
      <c r="I19" s="71">
        <v>42.884999999999998</v>
      </c>
      <c r="J19" s="71">
        <v>31.58</v>
      </c>
      <c r="K19" s="71">
        <v>53.567</v>
      </c>
      <c r="L19" s="71">
        <v>41.024000000000001</v>
      </c>
      <c r="M19" s="71">
        <v>50.246000000000002</v>
      </c>
      <c r="N19" s="71">
        <v>27.713200000000001</v>
      </c>
      <c r="O19" s="71">
        <v>22.417000000000002</v>
      </c>
      <c r="P19" s="71">
        <v>59.686</v>
      </c>
      <c r="Q19" s="71">
        <v>33.893999999999998</v>
      </c>
      <c r="R19" s="71">
        <v>39.012999999999998</v>
      </c>
      <c r="S19" s="71">
        <v>30.651</v>
      </c>
      <c r="T19" s="71">
        <v>18.614000000000001</v>
      </c>
      <c r="U19" s="71">
        <v>73.977999999999994</v>
      </c>
      <c r="V19" s="71">
        <v>62.170999999999999</v>
      </c>
      <c r="W19" s="71">
        <v>58.582000000000001</v>
      </c>
      <c r="X19" s="71">
        <v>31.998999999999999</v>
      </c>
      <c r="Y19" s="71">
        <v>19.256</v>
      </c>
      <c r="Z19" s="71">
        <v>69.165999999999997</v>
      </c>
      <c r="AA19" s="71">
        <v>62.176000000000002</v>
      </c>
      <c r="AB19" s="71">
        <v>62.603999999999999</v>
      </c>
      <c r="AC19" s="71">
        <v>38.24</v>
      </c>
      <c r="AD19" s="71">
        <v>16.768999999999998</v>
      </c>
      <c r="AE19" s="47"/>
    </row>
    <row r="20" spans="1:31">
      <c r="A20" s="71">
        <v>69.619</v>
      </c>
      <c r="B20" s="71">
        <v>46.564999999999998</v>
      </c>
      <c r="C20" s="71">
        <v>53.966000000000001</v>
      </c>
      <c r="D20" s="71">
        <v>36.704000000000001</v>
      </c>
      <c r="E20" s="71">
        <v>24.79</v>
      </c>
      <c r="F20" s="71">
        <v>61.500999999999998</v>
      </c>
      <c r="G20" s="71">
        <v>43.981999999999999</v>
      </c>
      <c r="H20" s="71">
        <v>50.180999999999997</v>
      </c>
      <c r="I20" s="71">
        <v>42.375999999999998</v>
      </c>
      <c r="J20" s="71">
        <v>31.388999999999999</v>
      </c>
      <c r="K20" s="71">
        <v>52.863</v>
      </c>
      <c r="L20" s="71">
        <v>39.338000000000001</v>
      </c>
      <c r="M20" s="71">
        <v>50.078000000000003</v>
      </c>
      <c r="N20" s="71">
        <v>27.012</v>
      </c>
      <c r="O20" s="71">
        <v>22.204999999999998</v>
      </c>
      <c r="P20" s="71">
        <v>59.298000000000002</v>
      </c>
      <c r="Q20" s="71">
        <v>33.787999999999997</v>
      </c>
      <c r="R20" s="71">
        <v>38.783000000000001</v>
      </c>
      <c r="S20" s="71">
        <v>30.431000000000001</v>
      </c>
      <c r="T20" s="71">
        <v>18.170999999999999</v>
      </c>
      <c r="U20" s="71">
        <v>72.399000000000001</v>
      </c>
      <c r="V20" s="71">
        <v>61.792000000000002</v>
      </c>
      <c r="W20" s="71">
        <v>2</v>
      </c>
      <c r="X20" s="71">
        <v>30.893000000000001</v>
      </c>
      <c r="Y20" s="71">
        <v>18.898</v>
      </c>
      <c r="Z20" s="71">
        <v>65.977999999999994</v>
      </c>
      <c r="AA20" s="71">
        <v>60.186999999999998</v>
      </c>
      <c r="AB20" s="71">
        <v>61.469000000000001</v>
      </c>
      <c r="AC20" s="71">
        <v>37.344999999999999</v>
      </c>
      <c r="AD20" s="71">
        <v>16.495999999999999</v>
      </c>
      <c r="AE20" s="47"/>
    </row>
    <row r="21" spans="1:31">
      <c r="A21" s="71">
        <v>68.572999999999993</v>
      </c>
      <c r="B21" s="71">
        <v>46.320999999999998</v>
      </c>
      <c r="C21" s="71">
        <v>52.197000000000003</v>
      </c>
      <c r="D21" s="71">
        <v>35.853999999999999</v>
      </c>
      <c r="E21" s="71">
        <v>24.497</v>
      </c>
      <c r="F21" s="71">
        <v>59.374000000000002</v>
      </c>
      <c r="G21" s="71">
        <v>40.759</v>
      </c>
      <c r="H21" s="71">
        <v>46.475999999999999</v>
      </c>
      <c r="I21" s="71">
        <v>38.64</v>
      </c>
      <c r="J21" s="71">
        <v>29.527999999999999</v>
      </c>
      <c r="K21" s="71">
        <v>52.356999999999999</v>
      </c>
      <c r="L21" s="71">
        <v>39.19</v>
      </c>
      <c r="M21" s="71">
        <v>47.058</v>
      </c>
      <c r="N21" s="71">
        <v>26.981000000000002</v>
      </c>
      <c r="O21" s="71">
        <v>21.725000000000001</v>
      </c>
      <c r="P21" s="71">
        <v>56.085999999999999</v>
      </c>
      <c r="Q21" s="71">
        <v>33.256</v>
      </c>
      <c r="R21" s="71">
        <v>38.398000000000003</v>
      </c>
      <c r="S21" s="71">
        <v>29.925000000000001</v>
      </c>
      <c r="T21" s="71">
        <v>17.899000000000001</v>
      </c>
      <c r="U21" s="71">
        <v>68.951999999999998</v>
      </c>
      <c r="V21" s="71">
        <v>61.216999999999999</v>
      </c>
      <c r="W21" s="71">
        <v>57.587000000000003</v>
      </c>
      <c r="X21" s="71">
        <v>30.649000000000001</v>
      </c>
      <c r="Y21" s="71">
        <v>18.823</v>
      </c>
      <c r="Z21" s="71">
        <v>63.81</v>
      </c>
      <c r="AA21" s="71">
        <v>56.228000000000002</v>
      </c>
      <c r="AB21" s="71">
        <v>60.811999999999998</v>
      </c>
      <c r="AC21" s="71">
        <v>37.08</v>
      </c>
      <c r="AD21" s="71">
        <v>16.436</v>
      </c>
      <c r="AE21" s="47"/>
    </row>
    <row r="22" spans="1:31">
      <c r="A22" s="71">
        <v>65.447999999999993</v>
      </c>
      <c r="B22" s="71">
        <v>44.375999999999998</v>
      </c>
      <c r="C22" s="71">
        <v>49.750999999999998</v>
      </c>
      <c r="D22" s="71">
        <v>35.741999999999997</v>
      </c>
      <c r="E22" s="71">
        <v>23.716999999999999</v>
      </c>
      <c r="F22" s="71">
        <v>59.14</v>
      </c>
      <c r="G22" s="71">
        <v>40.649000000000001</v>
      </c>
      <c r="H22" s="71">
        <v>44.091000000000001</v>
      </c>
      <c r="I22" s="71">
        <v>36.372</v>
      </c>
      <c r="J22" s="71">
        <v>28.475999999999999</v>
      </c>
      <c r="K22" s="71">
        <v>51.615000000000002</v>
      </c>
      <c r="L22" s="71">
        <v>38.96</v>
      </c>
      <c r="M22" s="71">
        <v>44.534999999999997</v>
      </c>
      <c r="N22" s="71">
        <v>26.965</v>
      </c>
      <c r="O22" s="71">
        <v>21.36</v>
      </c>
      <c r="P22" s="71">
        <v>56.09</v>
      </c>
      <c r="Q22" s="71">
        <v>32.168999999999997</v>
      </c>
      <c r="R22" s="71">
        <v>38.113999999999997</v>
      </c>
      <c r="S22" s="71">
        <v>29.603999999999999</v>
      </c>
      <c r="T22" s="71">
        <v>17.428999999999998</v>
      </c>
      <c r="U22" s="71">
        <v>68.683000000000007</v>
      </c>
      <c r="V22" s="71">
        <v>60.828000000000003</v>
      </c>
      <c r="W22" s="71">
        <v>54.640999999999998</v>
      </c>
      <c r="X22" s="71">
        <v>30.507000000000001</v>
      </c>
      <c r="Y22" s="71">
        <v>18.344000000000001</v>
      </c>
      <c r="Z22" s="71">
        <v>61.79</v>
      </c>
      <c r="AA22" s="71">
        <v>55.192999999999998</v>
      </c>
      <c r="AB22" s="71">
        <v>59.808</v>
      </c>
      <c r="AC22" s="71">
        <v>36.912999999999997</v>
      </c>
      <c r="AD22" s="71">
        <v>16.311</v>
      </c>
      <c r="AE22" s="47"/>
    </row>
    <row r="23" spans="1:31">
      <c r="A23" s="71">
        <v>64.564999999999998</v>
      </c>
      <c r="B23" s="71">
        <v>43.094999999999999</v>
      </c>
      <c r="C23" s="71">
        <v>48.081000000000003</v>
      </c>
      <c r="D23" s="71">
        <v>35.421999999999997</v>
      </c>
      <c r="E23" s="71">
        <v>22.588999999999999</v>
      </c>
      <c r="F23" s="71">
        <v>58.762999999999998</v>
      </c>
      <c r="G23" s="71">
        <v>39.774999999999999</v>
      </c>
      <c r="H23" s="71">
        <v>41.784999999999997</v>
      </c>
      <c r="I23" s="71">
        <v>33.055999999999997</v>
      </c>
      <c r="J23" s="71">
        <v>26.602</v>
      </c>
      <c r="K23" s="71">
        <v>51.335999999999999</v>
      </c>
      <c r="L23" s="71">
        <v>38.439</v>
      </c>
      <c r="M23" s="71">
        <v>43.387</v>
      </c>
      <c r="N23" s="71">
        <v>26.873999999999999</v>
      </c>
      <c r="O23" s="71">
        <v>21.202999999999999</v>
      </c>
      <c r="P23" s="71">
        <v>55.759</v>
      </c>
      <c r="Q23" s="71">
        <v>31.81</v>
      </c>
      <c r="R23" s="71">
        <v>38.003</v>
      </c>
      <c r="S23" s="71">
        <v>29.565999999999999</v>
      </c>
      <c r="T23" s="71">
        <v>17.297999999999998</v>
      </c>
      <c r="U23" s="71">
        <v>67.762</v>
      </c>
      <c r="V23" s="71">
        <v>60.014000000000003</v>
      </c>
      <c r="W23" s="71">
        <v>52.844000000000001</v>
      </c>
      <c r="X23" s="71">
        <v>29.31</v>
      </c>
      <c r="Y23" s="71">
        <v>18.065999999999999</v>
      </c>
      <c r="Z23" s="71">
        <v>61.146999999999998</v>
      </c>
      <c r="AA23" s="71">
        <v>54.366</v>
      </c>
      <c r="AB23" s="71">
        <v>56.881999999999998</v>
      </c>
      <c r="AC23" s="71">
        <v>36.889000000000003</v>
      </c>
      <c r="AD23" s="71">
        <v>16.170000000000002</v>
      </c>
      <c r="AE23" s="47"/>
    </row>
    <row r="24" spans="1:31">
      <c r="A24" s="71">
        <v>64.465999999999994</v>
      </c>
      <c r="B24" s="71">
        <v>42.451000000000001</v>
      </c>
      <c r="C24" s="71">
        <v>47.805</v>
      </c>
      <c r="D24" s="71">
        <v>34.957999999999998</v>
      </c>
      <c r="E24" s="71">
        <v>21.015999999999998</v>
      </c>
      <c r="F24" s="71">
        <v>57.942</v>
      </c>
      <c r="G24" s="71">
        <v>39.761000000000003</v>
      </c>
      <c r="H24" s="71">
        <v>40.414999999999999</v>
      </c>
      <c r="I24" s="71">
        <v>32.700000000000003</v>
      </c>
      <c r="J24" s="71">
        <v>25.911000000000001</v>
      </c>
      <c r="K24" s="71">
        <v>50.787999999999997</v>
      </c>
      <c r="L24" s="71">
        <v>36.700000000000003</v>
      </c>
      <c r="M24" s="71">
        <v>42.091999999999999</v>
      </c>
      <c r="N24" s="71">
        <v>23.855</v>
      </c>
      <c r="O24" s="71">
        <v>20.620999999999999</v>
      </c>
      <c r="P24" s="71">
        <v>55.701000000000001</v>
      </c>
      <c r="Q24" s="71">
        <v>30.805</v>
      </c>
      <c r="R24" s="71">
        <v>37.353999999999999</v>
      </c>
      <c r="S24" s="71">
        <v>29.484999999999999</v>
      </c>
      <c r="T24" s="71">
        <v>17.045000000000002</v>
      </c>
      <c r="U24" s="71">
        <v>58.706000000000003</v>
      </c>
      <c r="V24" s="71">
        <v>64.174000000000007</v>
      </c>
      <c r="W24" s="71">
        <v>52.350999999999999</v>
      </c>
      <c r="X24" s="71">
        <v>28.782</v>
      </c>
      <c r="Y24" s="71">
        <v>17.420000000000002</v>
      </c>
      <c r="Z24" s="71">
        <v>60.841000000000001</v>
      </c>
      <c r="AA24" s="71">
        <v>51.423000000000002</v>
      </c>
      <c r="AB24" s="71">
        <v>56.667000000000002</v>
      </c>
      <c r="AC24" s="71">
        <v>36.884</v>
      </c>
      <c r="AD24" s="71">
        <v>16.081</v>
      </c>
      <c r="AE24" s="47"/>
    </row>
    <row r="25" spans="1:31">
      <c r="A25" s="71">
        <v>58.689</v>
      </c>
      <c r="B25" s="71">
        <v>42.162999999999997</v>
      </c>
      <c r="C25" s="71">
        <v>47.661999999999999</v>
      </c>
      <c r="D25" s="71">
        <v>34.656999999999996</v>
      </c>
      <c r="E25" s="71">
        <v>19.670000000000002</v>
      </c>
      <c r="F25" s="71">
        <v>57.433</v>
      </c>
      <c r="G25" s="71">
        <v>38.927</v>
      </c>
      <c r="H25" s="71">
        <v>40.078000000000003</v>
      </c>
      <c r="I25" s="71">
        <v>32.640999999999998</v>
      </c>
      <c r="J25" s="71">
        <v>24.995000000000001</v>
      </c>
      <c r="K25" s="71">
        <v>47.975999999999999</v>
      </c>
      <c r="L25" s="71">
        <v>36.578000000000003</v>
      </c>
      <c r="M25" s="71">
        <v>41.081000000000003</v>
      </c>
      <c r="N25" s="71">
        <v>23.550999999999998</v>
      </c>
      <c r="O25" s="71">
        <v>20.199000000000002</v>
      </c>
      <c r="P25" s="71">
        <v>54.494999999999997</v>
      </c>
      <c r="Q25" s="71">
        <v>30.646000000000001</v>
      </c>
      <c r="R25" s="71">
        <v>37.212000000000003</v>
      </c>
      <c r="S25" s="71">
        <v>29.231000000000002</v>
      </c>
      <c r="T25" s="71">
        <v>16.878</v>
      </c>
      <c r="U25" s="71">
        <v>57.539000000000001</v>
      </c>
      <c r="V25" s="71">
        <v>61.149000000000001</v>
      </c>
      <c r="W25" s="71">
        <v>49.575000000000003</v>
      </c>
      <c r="X25" s="71">
        <v>28.533999999999999</v>
      </c>
      <c r="Y25" s="71">
        <v>17.169</v>
      </c>
      <c r="Z25" s="71">
        <v>60.716999999999999</v>
      </c>
      <c r="AA25" s="71">
        <v>50.981999999999999</v>
      </c>
      <c r="AB25" s="71">
        <v>56.49</v>
      </c>
      <c r="AC25" s="71">
        <v>36.177999999999997</v>
      </c>
      <c r="AD25" s="71">
        <v>15.928000000000001</v>
      </c>
      <c r="AE25" s="47"/>
    </row>
    <row r="26" spans="1:31">
      <c r="A26" s="71">
        <v>57.061</v>
      </c>
      <c r="B26" s="71">
        <v>41.551000000000002</v>
      </c>
      <c r="C26" s="71">
        <v>45.801000000000002</v>
      </c>
      <c r="D26" s="71">
        <v>31.946999999999999</v>
      </c>
      <c r="E26" s="71">
        <v>19.373000000000001</v>
      </c>
      <c r="F26" s="71">
        <v>57.201999999999998</v>
      </c>
      <c r="G26" s="71">
        <v>37.198999999999998</v>
      </c>
      <c r="H26" s="71">
        <v>37.845999999999997</v>
      </c>
      <c r="I26" s="71">
        <v>32.265000000000001</v>
      </c>
      <c r="J26" s="71">
        <v>23.863</v>
      </c>
      <c r="K26" s="71">
        <v>46.88</v>
      </c>
      <c r="L26" s="71">
        <v>32.677</v>
      </c>
      <c r="M26" s="71">
        <v>39.640999999999998</v>
      </c>
      <c r="N26" s="71">
        <v>23.106999999999999</v>
      </c>
      <c r="O26" s="71">
        <v>20.11</v>
      </c>
      <c r="P26" s="71">
        <v>54.118000000000002</v>
      </c>
      <c r="Q26" s="71">
        <v>30.61</v>
      </c>
      <c r="R26" s="71">
        <v>36.067999999999998</v>
      </c>
      <c r="S26" s="71">
        <v>28.972000000000001</v>
      </c>
      <c r="T26" s="71">
        <v>16.149999999999999</v>
      </c>
      <c r="U26" s="71">
        <v>56.514000000000003</v>
      </c>
      <c r="V26" s="71">
        <v>58.509</v>
      </c>
      <c r="W26" s="71">
        <v>47.820999999999998</v>
      </c>
      <c r="X26" s="71">
        <v>28.472000000000001</v>
      </c>
      <c r="Y26" s="71">
        <v>16.434999999999999</v>
      </c>
      <c r="Z26" s="71">
        <v>58.787999999999997</v>
      </c>
      <c r="AA26" s="71">
        <v>49.436</v>
      </c>
      <c r="AB26" s="71">
        <v>56.19</v>
      </c>
      <c r="AC26" s="71">
        <v>35.984999999999999</v>
      </c>
      <c r="AD26" s="71">
        <v>15.561</v>
      </c>
      <c r="AE26" s="47"/>
    </row>
    <row r="27" spans="1:31">
      <c r="A27" s="71">
        <v>55.451999999999998</v>
      </c>
      <c r="B27" s="71">
        <v>40.155000000000001</v>
      </c>
      <c r="C27" s="71">
        <v>44.613</v>
      </c>
      <c r="D27" s="71">
        <v>30.023</v>
      </c>
      <c r="E27" s="71">
        <v>19.369</v>
      </c>
      <c r="F27" s="71">
        <v>56.704999999999998</v>
      </c>
      <c r="G27" s="71">
        <v>37.054000000000002</v>
      </c>
      <c r="H27" s="71">
        <v>36.683999999999997</v>
      </c>
      <c r="I27" s="71">
        <v>30.603999999999999</v>
      </c>
      <c r="J27" s="71">
        <v>22.454000000000001</v>
      </c>
      <c r="K27" s="71">
        <v>46.841000000000001</v>
      </c>
      <c r="L27" s="71">
        <v>32.658000000000001</v>
      </c>
      <c r="M27" s="71">
        <v>39.625999999999998</v>
      </c>
      <c r="N27" s="71">
        <v>23.021000000000001</v>
      </c>
      <c r="O27" s="71">
        <v>20.079000000000001</v>
      </c>
      <c r="P27" s="71">
        <v>54.1</v>
      </c>
      <c r="Q27" s="71">
        <v>30.297999999999998</v>
      </c>
      <c r="R27" s="71">
        <v>34.573</v>
      </c>
      <c r="S27" s="71">
        <v>28.338000000000001</v>
      </c>
      <c r="T27" s="71">
        <v>16.099</v>
      </c>
      <c r="U27" s="71">
        <v>55.600999999999999</v>
      </c>
      <c r="V27" s="71">
        <v>57.68</v>
      </c>
      <c r="W27" s="71">
        <v>47.051000000000002</v>
      </c>
      <c r="X27" s="71">
        <v>28.202000000000002</v>
      </c>
      <c r="Y27" s="71">
        <v>16.315000000000001</v>
      </c>
      <c r="Z27" s="71">
        <v>57.52</v>
      </c>
      <c r="AA27" s="71">
        <v>48.567999999999998</v>
      </c>
      <c r="AB27" s="71">
        <v>53.68</v>
      </c>
      <c r="AC27" s="71">
        <v>35.840000000000003</v>
      </c>
      <c r="AD27" s="71">
        <v>15.345000000000001</v>
      </c>
      <c r="AE27" s="47"/>
    </row>
    <row r="28" spans="1:31">
      <c r="A28" s="71">
        <v>55.073</v>
      </c>
      <c r="B28" s="71">
        <v>38.798000000000002</v>
      </c>
      <c r="C28" s="71">
        <v>43.972000000000001</v>
      </c>
      <c r="D28" s="71">
        <v>29.901</v>
      </c>
      <c r="E28" s="71">
        <v>19.210999999999999</v>
      </c>
      <c r="F28" s="71">
        <v>56.66</v>
      </c>
      <c r="G28" s="71">
        <v>34.462000000000003</v>
      </c>
      <c r="H28" s="71">
        <v>35.436999999999998</v>
      </c>
      <c r="I28" s="71">
        <v>29.134</v>
      </c>
      <c r="J28" s="71">
        <v>22.303000000000001</v>
      </c>
      <c r="K28" s="71">
        <v>46.158000000000001</v>
      </c>
      <c r="L28" s="71">
        <v>32.369</v>
      </c>
      <c r="M28" s="71">
        <v>39.548000000000002</v>
      </c>
      <c r="N28" s="71">
        <v>22.741</v>
      </c>
      <c r="O28" s="71">
        <v>19.782</v>
      </c>
      <c r="P28" s="71">
        <v>49.36</v>
      </c>
      <c r="Q28" s="71">
        <v>30.233000000000001</v>
      </c>
      <c r="R28" s="71">
        <v>34.036000000000001</v>
      </c>
      <c r="S28" s="71">
        <v>27.945</v>
      </c>
      <c r="T28" s="71">
        <v>15.933</v>
      </c>
      <c r="U28" s="71">
        <v>54.296999999999997</v>
      </c>
      <c r="V28" s="71">
        <v>57.154000000000003</v>
      </c>
      <c r="W28" s="71">
        <v>45.984000000000002</v>
      </c>
      <c r="X28" s="71">
        <v>27.92</v>
      </c>
      <c r="Y28" s="71">
        <v>16.170000000000002</v>
      </c>
      <c r="Z28" s="71">
        <v>56.444000000000003</v>
      </c>
      <c r="AA28" s="71">
        <v>48.281999999999996</v>
      </c>
      <c r="AB28" s="71">
        <v>51.804000000000002</v>
      </c>
      <c r="AC28" s="71">
        <v>34.572000000000003</v>
      </c>
      <c r="AD28" s="71">
        <v>15.342000000000001</v>
      </c>
      <c r="AE28" s="47"/>
    </row>
    <row r="29" spans="1:31">
      <c r="A29" s="71">
        <v>54.905999999999999</v>
      </c>
      <c r="B29" s="71">
        <v>38.222999999999999</v>
      </c>
      <c r="C29" s="71">
        <v>43.411000000000001</v>
      </c>
      <c r="D29" s="71">
        <v>29.466000000000001</v>
      </c>
      <c r="E29" s="71">
        <v>17.338999999999999</v>
      </c>
      <c r="F29" s="71">
        <v>56.567</v>
      </c>
      <c r="G29" s="71">
        <v>34.139000000000003</v>
      </c>
      <c r="H29" s="71">
        <v>34.860999999999997</v>
      </c>
      <c r="I29" s="71">
        <v>29.103000000000002</v>
      </c>
      <c r="J29" s="71">
        <v>21.382999999999999</v>
      </c>
      <c r="K29" s="71">
        <v>45.817</v>
      </c>
      <c r="L29" s="71">
        <v>32.340899999999998</v>
      </c>
      <c r="M29" s="71">
        <v>38.380000000000003</v>
      </c>
      <c r="N29" s="71">
        <v>22.64</v>
      </c>
      <c r="O29" s="71">
        <v>19.672000000000001</v>
      </c>
      <c r="P29" s="71">
        <v>48.728999999999999</v>
      </c>
      <c r="Q29" s="71">
        <v>28.472000000000001</v>
      </c>
      <c r="R29" s="71">
        <v>32.890999999999998</v>
      </c>
      <c r="S29" s="71">
        <v>27.613</v>
      </c>
      <c r="T29" s="71">
        <v>15.817</v>
      </c>
      <c r="U29" s="71">
        <v>51.927</v>
      </c>
      <c r="V29" s="71">
        <v>56.444000000000003</v>
      </c>
      <c r="W29" s="71">
        <v>45.823</v>
      </c>
      <c r="X29" s="71">
        <v>27.914000000000001</v>
      </c>
      <c r="Y29" s="71">
        <v>16.003</v>
      </c>
      <c r="Z29" s="71">
        <v>56.213000000000001</v>
      </c>
      <c r="AA29" s="71">
        <v>48.259</v>
      </c>
      <c r="AB29" s="71">
        <v>50.972000000000001</v>
      </c>
      <c r="AC29" s="71">
        <v>32.884</v>
      </c>
      <c r="AD29" s="71">
        <v>15.282999999999999</v>
      </c>
      <c r="AE29" s="47"/>
    </row>
    <row r="30" spans="1:31">
      <c r="A30" s="71">
        <v>54.863</v>
      </c>
      <c r="B30" s="71">
        <v>37.259</v>
      </c>
      <c r="C30" s="71">
        <v>43.238999999999997</v>
      </c>
      <c r="D30" s="71">
        <v>29.096</v>
      </c>
      <c r="E30" s="71">
        <v>17.128</v>
      </c>
      <c r="F30" s="71">
        <v>55.084000000000003</v>
      </c>
      <c r="G30" s="71">
        <v>33.374000000000002</v>
      </c>
      <c r="H30" s="71">
        <v>34.817</v>
      </c>
      <c r="I30" s="71">
        <v>29.06</v>
      </c>
      <c r="J30" s="71">
        <v>20.530999999999999</v>
      </c>
      <c r="K30" s="71">
        <v>45.610999999999997</v>
      </c>
      <c r="L30" s="71">
        <v>31.742999999999999</v>
      </c>
      <c r="M30" s="71">
        <v>38.155000000000001</v>
      </c>
      <c r="N30" s="71">
        <v>22.527000000000001</v>
      </c>
      <c r="O30" s="71">
        <v>18.952000000000002</v>
      </c>
      <c r="P30" s="71">
        <v>48.073999999999998</v>
      </c>
      <c r="Q30" s="71">
        <v>28.335000000000001</v>
      </c>
      <c r="R30" s="71">
        <v>32.770000000000003</v>
      </c>
      <c r="S30" s="71">
        <v>26.975999999999999</v>
      </c>
      <c r="T30" s="71">
        <v>15.813000000000001</v>
      </c>
      <c r="U30" s="71">
        <v>47.905000000000001</v>
      </c>
      <c r="V30" s="71">
        <v>51.036000000000001</v>
      </c>
      <c r="W30" s="71">
        <v>44.914999999999999</v>
      </c>
      <c r="X30" s="71">
        <v>27.594999999999999</v>
      </c>
      <c r="Y30" s="71">
        <v>15.023999999999999</v>
      </c>
      <c r="Z30" s="71">
        <v>55.234999999999999</v>
      </c>
      <c r="AA30" s="71">
        <v>47.606000000000002</v>
      </c>
      <c r="AB30" s="71">
        <v>50.936999999999998</v>
      </c>
      <c r="AC30" s="71">
        <v>32.384999999999998</v>
      </c>
      <c r="AD30" s="71">
        <v>14.78</v>
      </c>
      <c r="AE30" s="47"/>
    </row>
    <row r="31" spans="1:31">
      <c r="A31" s="71">
        <v>54.204999999999998</v>
      </c>
      <c r="B31" s="71">
        <v>36.030999999999999</v>
      </c>
      <c r="C31" s="71">
        <v>42.890999999999998</v>
      </c>
      <c r="D31" s="71">
        <v>29.056000000000001</v>
      </c>
      <c r="E31" s="71">
        <v>17.018999999999998</v>
      </c>
      <c r="F31" s="71">
        <v>54.725000000000001</v>
      </c>
      <c r="G31" s="71">
        <v>32.939</v>
      </c>
      <c r="H31" s="71">
        <v>33.801000000000002</v>
      </c>
      <c r="I31" s="71">
        <v>27.81</v>
      </c>
      <c r="J31" s="71">
        <v>19.811</v>
      </c>
      <c r="K31" s="71">
        <v>45.57</v>
      </c>
      <c r="L31" s="71">
        <v>30.864000000000001</v>
      </c>
      <c r="M31" s="71">
        <v>34.975999999999999</v>
      </c>
      <c r="N31" s="71">
        <v>22.497</v>
      </c>
      <c r="O31" s="71">
        <v>18.757000000000001</v>
      </c>
      <c r="P31" s="71">
        <v>46.146999999999998</v>
      </c>
      <c r="Q31" s="71">
        <v>28.023</v>
      </c>
      <c r="R31" s="71">
        <v>32.399000000000001</v>
      </c>
      <c r="S31" s="71">
        <v>26.936</v>
      </c>
      <c r="T31" s="71">
        <v>15.754</v>
      </c>
      <c r="U31" s="71">
        <v>45.929000000000002</v>
      </c>
      <c r="V31" s="71">
        <v>50.378999999999998</v>
      </c>
      <c r="W31" s="71">
        <v>44.286000000000001</v>
      </c>
      <c r="X31" s="71">
        <v>27.401</v>
      </c>
      <c r="Y31" s="71">
        <v>14.461</v>
      </c>
      <c r="Z31" s="71">
        <v>54.655999999999999</v>
      </c>
      <c r="AA31" s="71">
        <v>46.593000000000004</v>
      </c>
      <c r="AB31" s="71">
        <v>49.823</v>
      </c>
      <c r="AC31" s="71">
        <v>32.381999999999998</v>
      </c>
      <c r="AD31" s="71">
        <v>13.673</v>
      </c>
      <c r="AE31" s="47"/>
    </row>
    <row r="32" spans="1:31">
      <c r="A32" s="71">
        <v>51.673000000000002</v>
      </c>
      <c r="B32" s="71">
        <v>33.139000000000003</v>
      </c>
      <c r="C32" s="71">
        <v>42.289000000000001</v>
      </c>
      <c r="D32" s="71">
        <v>27.488</v>
      </c>
      <c r="E32" s="71">
        <v>16.417999999999999</v>
      </c>
      <c r="F32" s="71">
        <v>52.92</v>
      </c>
      <c r="G32" s="71">
        <v>32.487000000000002</v>
      </c>
      <c r="H32" s="71">
        <v>32.521000000000001</v>
      </c>
      <c r="I32" s="71">
        <v>27.489000000000001</v>
      </c>
      <c r="J32" s="71">
        <v>19.547000000000001</v>
      </c>
      <c r="K32" s="71">
        <v>44.078000000000003</v>
      </c>
      <c r="L32" s="71">
        <v>29.81</v>
      </c>
      <c r="M32" s="71">
        <v>33.96</v>
      </c>
      <c r="N32" s="71">
        <v>22.452000000000002</v>
      </c>
      <c r="O32" s="71">
        <v>18.745000000000001</v>
      </c>
      <c r="P32" s="71">
        <v>45.685000000000002</v>
      </c>
      <c r="Q32" s="71">
        <v>27.193000000000001</v>
      </c>
      <c r="R32" s="71">
        <v>32.390999999999998</v>
      </c>
      <c r="S32" s="71">
        <v>26.503</v>
      </c>
      <c r="T32" s="71">
        <v>15.739000000000001</v>
      </c>
      <c r="U32" s="71">
        <v>44.25</v>
      </c>
      <c r="V32" s="71">
        <v>50.737000000000002</v>
      </c>
      <c r="W32" s="71">
        <v>44.155000000000001</v>
      </c>
      <c r="X32" s="71">
        <v>27.257000000000001</v>
      </c>
      <c r="Y32" s="71">
        <v>14.086</v>
      </c>
      <c r="Z32" s="71">
        <v>53.619</v>
      </c>
      <c r="AA32" s="71">
        <v>46.023000000000003</v>
      </c>
      <c r="AB32" s="71">
        <v>49.140999999999998</v>
      </c>
      <c r="AC32" s="71">
        <v>30.669</v>
      </c>
      <c r="AD32" s="71">
        <v>13.286</v>
      </c>
      <c r="AE32" s="47"/>
    </row>
    <row r="33" spans="1:31">
      <c r="A33" s="71">
        <v>48.563000000000002</v>
      </c>
      <c r="B33" s="71">
        <v>32.174999999999997</v>
      </c>
      <c r="C33" s="71">
        <v>42.204000000000001</v>
      </c>
      <c r="D33" s="71">
        <v>27.332000000000001</v>
      </c>
      <c r="E33" s="71">
        <v>16.117000000000001</v>
      </c>
      <c r="F33" s="71">
        <v>52.743000000000002</v>
      </c>
      <c r="G33" s="71">
        <v>31.564</v>
      </c>
      <c r="H33" s="71">
        <v>31.875</v>
      </c>
      <c r="I33" s="71">
        <v>26.286999999999999</v>
      </c>
      <c r="J33" s="71">
        <v>18.984999999999999</v>
      </c>
      <c r="K33" s="71">
        <v>43.279000000000003</v>
      </c>
      <c r="L33" s="71">
        <v>29.559000000000001</v>
      </c>
      <c r="M33" s="71">
        <v>32.813000000000002</v>
      </c>
      <c r="N33" s="71">
        <v>22.323</v>
      </c>
      <c r="O33" s="71">
        <v>18.465</v>
      </c>
      <c r="P33" s="71">
        <v>44.887</v>
      </c>
      <c r="Q33" s="71">
        <v>26.849</v>
      </c>
      <c r="R33" s="71">
        <v>32.314</v>
      </c>
      <c r="S33" s="71">
        <v>26.117999999999999</v>
      </c>
      <c r="T33" s="71">
        <v>15.522</v>
      </c>
      <c r="U33" s="71">
        <v>43.683999999999997</v>
      </c>
      <c r="V33" s="71">
        <v>50.087000000000003</v>
      </c>
      <c r="W33" s="71">
        <v>44.046999999999997</v>
      </c>
      <c r="X33" s="71">
        <v>27.132999999999999</v>
      </c>
      <c r="Y33" s="71">
        <v>13.725</v>
      </c>
      <c r="Z33" s="71">
        <v>53.103999999999999</v>
      </c>
      <c r="AA33" s="71">
        <v>43.481999999999999</v>
      </c>
      <c r="AB33" s="71">
        <v>48.933</v>
      </c>
      <c r="AC33" s="71">
        <v>30.312000000000001</v>
      </c>
      <c r="AD33" s="71">
        <v>12.624000000000001</v>
      </c>
      <c r="AE33" s="47"/>
    </row>
    <row r="34" spans="1:31">
      <c r="A34" s="71">
        <v>47.116</v>
      </c>
      <c r="B34" s="71">
        <v>30.959</v>
      </c>
      <c r="C34" s="71">
        <v>38.478000000000002</v>
      </c>
      <c r="D34" s="71">
        <v>26.484000000000002</v>
      </c>
      <c r="E34" s="71">
        <v>15.526999999999999</v>
      </c>
      <c r="F34" s="71">
        <v>52.158000000000001</v>
      </c>
      <c r="G34" s="71">
        <v>30.018999999999998</v>
      </c>
      <c r="H34" s="71">
        <v>30.038</v>
      </c>
      <c r="I34" s="71">
        <v>25.709</v>
      </c>
      <c r="J34" s="71">
        <v>18.623999999999999</v>
      </c>
      <c r="K34" s="71">
        <v>42.563000000000002</v>
      </c>
      <c r="L34" s="71">
        <v>29.507999999999999</v>
      </c>
      <c r="M34" s="71">
        <v>31.536999999999999</v>
      </c>
      <c r="N34" s="71">
        <v>21.515999999999998</v>
      </c>
      <c r="O34" s="71">
        <v>18.382000000000001</v>
      </c>
      <c r="P34" s="71">
        <v>41.616</v>
      </c>
      <c r="Q34" s="71">
        <v>26.777999999999999</v>
      </c>
      <c r="R34" s="71">
        <v>31.501999999999999</v>
      </c>
      <c r="S34" s="71">
        <v>23.507000000000001</v>
      </c>
      <c r="T34" s="71">
        <v>15.12</v>
      </c>
      <c r="U34" s="71">
        <v>41.749000000000002</v>
      </c>
      <c r="V34" s="71">
        <v>49.868000000000002</v>
      </c>
      <c r="W34" s="71">
        <v>42.649000000000001</v>
      </c>
      <c r="X34" s="71">
        <v>26.594999999999999</v>
      </c>
      <c r="Y34" s="71">
        <v>12.734999999999999</v>
      </c>
      <c r="Z34" s="71">
        <v>52.262</v>
      </c>
      <c r="AA34" s="71">
        <v>40.686999999999998</v>
      </c>
      <c r="AB34" s="71">
        <v>47.847000000000001</v>
      </c>
      <c r="AC34" s="71">
        <v>29.625</v>
      </c>
      <c r="AD34" s="71">
        <v>12.491</v>
      </c>
      <c r="AE34" s="47"/>
    </row>
    <row r="35" spans="1:31">
      <c r="A35" s="71">
        <v>46.418999999999997</v>
      </c>
      <c r="B35" s="71">
        <v>30.001999999999999</v>
      </c>
      <c r="C35" s="71">
        <v>34.917999999999999</v>
      </c>
      <c r="D35" s="71">
        <v>25.138000000000002</v>
      </c>
      <c r="E35" s="71">
        <v>15.02</v>
      </c>
      <c r="F35" s="71">
        <v>51.576999999999998</v>
      </c>
      <c r="G35" s="71">
        <v>29.140999999999998</v>
      </c>
      <c r="H35" s="71">
        <v>29.596</v>
      </c>
      <c r="I35" s="71">
        <v>25.629000000000001</v>
      </c>
      <c r="J35" s="71">
        <v>18.477</v>
      </c>
      <c r="K35" s="71">
        <v>41.783999999999999</v>
      </c>
      <c r="L35" s="71">
        <v>29.064</v>
      </c>
      <c r="M35" s="71">
        <v>29.151</v>
      </c>
      <c r="N35" s="71">
        <v>21.416</v>
      </c>
      <c r="O35" s="71">
        <v>18.274000000000001</v>
      </c>
      <c r="P35" s="71">
        <v>40.715000000000003</v>
      </c>
      <c r="Q35" s="71">
        <v>25.556000000000001</v>
      </c>
      <c r="R35" s="71">
        <v>30.802</v>
      </c>
      <c r="S35" s="71">
        <v>23.193999999999999</v>
      </c>
      <c r="T35" s="71">
        <v>15.031000000000001</v>
      </c>
      <c r="U35" s="71">
        <v>41.74</v>
      </c>
      <c r="V35" s="71">
        <v>48.433999999999997</v>
      </c>
      <c r="W35" s="71">
        <v>40.390999999999998</v>
      </c>
      <c r="X35" s="71">
        <v>25.062999999999999</v>
      </c>
      <c r="Y35" s="71">
        <v>11.446</v>
      </c>
      <c r="Z35" s="71">
        <v>50.063000000000002</v>
      </c>
      <c r="AA35" s="71">
        <v>38.921999999999997</v>
      </c>
      <c r="AB35" s="71">
        <v>47.22</v>
      </c>
      <c r="AC35" s="71">
        <v>28.108000000000001</v>
      </c>
      <c r="AD35" s="71">
        <v>12.242000000000001</v>
      </c>
      <c r="AE35" s="47"/>
    </row>
    <row r="36" spans="1:31">
      <c r="A36" s="71">
        <v>43.802</v>
      </c>
      <c r="B36" s="71">
        <v>28.593</v>
      </c>
      <c r="C36" s="71">
        <v>33.902999999999999</v>
      </c>
      <c r="D36" s="71">
        <v>24.346</v>
      </c>
      <c r="E36" s="71">
        <v>14.461</v>
      </c>
      <c r="F36" s="71">
        <v>51.142000000000003</v>
      </c>
      <c r="G36" s="71">
        <v>27.245000000000001</v>
      </c>
      <c r="H36" s="71">
        <v>28.728999999999999</v>
      </c>
      <c r="I36" s="71">
        <v>25.283999999999999</v>
      </c>
      <c r="J36" s="71">
        <v>17.308</v>
      </c>
      <c r="K36" s="71">
        <v>38.843000000000004</v>
      </c>
      <c r="L36" s="71">
        <v>28.597999999999999</v>
      </c>
      <c r="M36" s="71">
        <v>28.907</v>
      </c>
      <c r="N36" s="71">
        <v>21.071999999999999</v>
      </c>
      <c r="O36" s="71">
        <v>17.916</v>
      </c>
      <c r="P36" s="71">
        <v>40.472999999999999</v>
      </c>
      <c r="Q36" s="71">
        <v>24.78</v>
      </c>
      <c r="R36" s="71">
        <v>30.529</v>
      </c>
      <c r="S36" s="71">
        <v>22.866</v>
      </c>
      <c r="T36" s="71">
        <v>15.021000000000001</v>
      </c>
      <c r="U36" s="71">
        <v>41.683999999999997</v>
      </c>
      <c r="V36" s="71">
        <v>46.735999999999997</v>
      </c>
      <c r="W36" s="71">
        <v>40.283999999999999</v>
      </c>
      <c r="X36" s="71">
        <v>24.812999999999999</v>
      </c>
      <c r="Y36" s="71">
        <v>10.926</v>
      </c>
      <c r="Z36" s="71">
        <v>49.417000000000002</v>
      </c>
      <c r="AA36" s="71">
        <v>36.646999999999998</v>
      </c>
      <c r="AB36" s="71">
        <v>45.360999999999997</v>
      </c>
      <c r="AC36" s="71">
        <v>27.992999999999999</v>
      </c>
      <c r="AD36" s="71">
        <v>12.092000000000001</v>
      </c>
      <c r="AE36" s="47"/>
    </row>
    <row r="37" spans="1:31">
      <c r="A37" s="71">
        <v>43.466999999999999</v>
      </c>
      <c r="B37" s="71">
        <v>25.733000000000001</v>
      </c>
      <c r="C37" s="71">
        <v>33.100999999999999</v>
      </c>
      <c r="D37" s="71">
        <v>21.751999999999999</v>
      </c>
      <c r="E37" s="71">
        <v>14.378</v>
      </c>
      <c r="F37" s="71">
        <v>50.716999999999999</v>
      </c>
      <c r="G37" s="71">
        <v>24.971</v>
      </c>
      <c r="H37" s="71">
        <v>27.152000000000001</v>
      </c>
      <c r="I37" s="71">
        <v>24.513999999999999</v>
      </c>
      <c r="J37" s="71">
        <v>17.091999999999999</v>
      </c>
      <c r="K37" s="71">
        <v>38.505000000000003</v>
      </c>
      <c r="L37" s="71">
        <v>27.475000000000001</v>
      </c>
      <c r="M37" s="71">
        <v>28.751000000000001</v>
      </c>
      <c r="N37" s="71">
        <v>20.864999999999998</v>
      </c>
      <c r="O37" s="71">
        <v>17.757000000000001</v>
      </c>
      <c r="P37" s="71">
        <v>37.116</v>
      </c>
      <c r="Q37" s="71">
        <v>24.591000000000001</v>
      </c>
      <c r="R37" s="71">
        <v>29.581</v>
      </c>
      <c r="S37" s="71">
        <v>22.099</v>
      </c>
      <c r="T37" s="71">
        <v>14.170999999999999</v>
      </c>
      <c r="U37" s="71">
        <v>39.590000000000003</v>
      </c>
      <c r="V37" s="71">
        <v>46.095999999999997</v>
      </c>
      <c r="W37" s="71">
        <v>40.192</v>
      </c>
      <c r="X37" s="71">
        <v>24.364999999999998</v>
      </c>
      <c r="Y37" s="71">
        <v>10.827999999999999</v>
      </c>
      <c r="Z37" s="71">
        <v>49.414000000000001</v>
      </c>
      <c r="AA37" s="71">
        <v>34.569000000000003</v>
      </c>
      <c r="AB37" s="71">
        <v>42.554000000000002</v>
      </c>
      <c r="AC37" s="71">
        <v>27.934999999999999</v>
      </c>
      <c r="AD37" s="71">
        <v>11.301</v>
      </c>
      <c r="AE37" s="47"/>
    </row>
    <row r="38" spans="1:31">
      <c r="A38" s="71">
        <v>42.951000000000001</v>
      </c>
      <c r="B38" s="71">
        <v>25.428999999999998</v>
      </c>
      <c r="C38" s="71">
        <v>31.239000000000001</v>
      </c>
      <c r="D38" s="71">
        <v>21.291</v>
      </c>
      <c r="E38" s="71">
        <v>14.058</v>
      </c>
      <c r="F38" s="71">
        <v>50</v>
      </c>
      <c r="G38" s="71">
        <v>23.690999999999999</v>
      </c>
      <c r="H38" s="71">
        <v>26.879000000000001</v>
      </c>
      <c r="I38" s="71">
        <v>22.576000000000001</v>
      </c>
      <c r="J38" s="71">
        <v>15.412000000000001</v>
      </c>
      <c r="K38" s="71">
        <v>36.764000000000003</v>
      </c>
      <c r="L38" s="71">
        <v>26.065999999999999</v>
      </c>
      <c r="M38" s="71">
        <v>28.068999999999999</v>
      </c>
      <c r="N38" s="71">
        <v>20.792000000000002</v>
      </c>
      <c r="O38" s="71">
        <v>17.209</v>
      </c>
      <c r="P38" s="71">
        <v>37.005000000000003</v>
      </c>
      <c r="Q38" s="71">
        <v>22.768000000000001</v>
      </c>
      <c r="R38" s="71">
        <v>29.503</v>
      </c>
      <c r="S38" s="71">
        <v>21.626999999999999</v>
      </c>
      <c r="T38" s="71">
        <v>14.161</v>
      </c>
      <c r="U38" s="71">
        <v>38.341000000000001</v>
      </c>
      <c r="V38" s="71">
        <v>45.89</v>
      </c>
      <c r="W38" s="71">
        <v>39.69</v>
      </c>
      <c r="X38" s="71">
        <v>23.233000000000001</v>
      </c>
      <c r="Y38" s="71">
        <v>10.195</v>
      </c>
      <c r="Z38" s="71">
        <v>47.656999999999996</v>
      </c>
      <c r="AA38" s="71">
        <v>34.238</v>
      </c>
      <c r="AB38" s="71">
        <v>41.173999999999999</v>
      </c>
      <c r="AC38" s="71">
        <v>27.545000000000002</v>
      </c>
      <c r="AD38" s="71">
        <v>11.11</v>
      </c>
      <c r="AE38" s="47"/>
    </row>
    <row r="39" spans="1:31">
      <c r="A39" s="71">
        <v>41.298000000000002</v>
      </c>
      <c r="B39" s="71">
        <v>24.875</v>
      </c>
      <c r="C39" s="71">
        <v>30.428000000000001</v>
      </c>
      <c r="D39" s="71">
        <v>19.116</v>
      </c>
      <c r="E39" s="71">
        <v>13.771000000000001</v>
      </c>
      <c r="F39" s="71">
        <v>47.771999999999998</v>
      </c>
      <c r="G39" s="71">
        <v>21.966999999999999</v>
      </c>
      <c r="H39" s="71">
        <v>25.731999999999999</v>
      </c>
      <c r="I39" s="71">
        <v>22.033999999999999</v>
      </c>
      <c r="J39" s="71">
        <v>15.304</v>
      </c>
      <c r="K39" s="71">
        <v>33.366999999999997</v>
      </c>
      <c r="L39" s="71">
        <v>25.169</v>
      </c>
      <c r="M39" s="71">
        <v>26.27</v>
      </c>
      <c r="N39" s="71">
        <v>20.678999999999998</v>
      </c>
      <c r="O39" s="71">
        <v>17.192</v>
      </c>
      <c r="P39" s="71">
        <v>33.24</v>
      </c>
      <c r="Q39" s="71">
        <v>20.669</v>
      </c>
      <c r="R39" s="71">
        <v>28.643999999999998</v>
      </c>
      <c r="S39" s="71">
        <v>21.446999999999999</v>
      </c>
      <c r="T39" s="71">
        <v>13.81</v>
      </c>
      <c r="U39" s="71">
        <v>38.011000000000003</v>
      </c>
      <c r="V39" s="71">
        <v>45.881999999999998</v>
      </c>
      <c r="W39" s="71">
        <v>38.606999999999999</v>
      </c>
      <c r="X39" s="71">
        <v>23.177</v>
      </c>
      <c r="Y39" s="71">
        <v>8.8230000000000004</v>
      </c>
      <c r="Z39" s="71">
        <v>47.457999999999998</v>
      </c>
      <c r="AA39" s="71">
        <v>32.311999999999998</v>
      </c>
      <c r="AB39" s="71">
        <v>41.075000000000003</v>
      </c>
      <c r="AC39" s="71">
        <v>26.367000000000001</v>
      </c>
      <c r="AD39" s="71">
        <v>10.821</v>
      </c>
      <c r="AE39" s="47"/>
    </row>
    <row r="40" spans="1:31">
      <c r="A40" s="71">
        <v>38.914999999999999</v>
      </c>
      <c r="B40" s="71">
        <v>24.803999999999998</v>
      </c>
      <c r="C40" s="71">
        <v>28.581</v>
      </c>
      <c r="D40" s="71">
        <v>16.856000000000002</v>
      </c>
      <c r="E40" s="71">
        <v>12.795</v>
      </c>
      <c r="F40" s="71">
        <v>47.381</v>
      </c>
      <c r="G40" s="71">
        <v>19.603000000000002</v>
      </c>
      <c r="H40" s="71">
        <v>23.783000000000001</v>
      </c>
      <c r="I40" s="71">
        <v>19.282</v>
      </c>
      <c r="J40" s="71">
        <v>15.026999999999999</v>
      </c>
      <c r="K40" s="71">
        <v>33.287999999999997</v>
      </c>
      <c r="L40" s="71">
        <v>23.446000000000002</v>
      </c>
      <c r="M40" s="71">
        <v>25.87</v>
      </c>
      <c r="N40" s="71">
        <v>18.265000000000001</v>
      </c>
      <c r="O40" s="71">
        <v>16.824000000000002</v>
      </c>
      <c r="P40" s="71">
        <v>28.989000000000001</v>
      </c>
      <c r="Q40" s="71">
        <v>20.36</v>
      </c>
      <c r="R40" s="71">
        <v>25.175999999999998</v>
      </c>
      <c r="S40" s="71">
        <v>21.295000000000002</v>
      </c>
      <c r="T40" s="71">
        <v>11.91</v>
      </c>
      <c r="U40" s="71">
        <v>36.975000000000001</v>
      </c>
      <c r="V40" s="71">
        <v>44.893000000000001</v>
      </c>
      <c r="W40" s="71">
        <v>38.186</v>
      </c>
      <c r="X40" s="71">
        <v>21.916</v>
      </c>
      <c r="Y40" s="71">
        <v>8.5630000000000006</v>
      </c>
      <c r="Z40" s="71">
        <v>46.231999999999999</v>
      </c>
      <c r="AA40" s="71">
        <v>30.634</v>
      </c>
      <c r="AB40" s="71">
        <v>39.390999999999998</v>
      </c>
      <c r="AC40" s="71">
        <v>26.100999999999999</v>
      </c>
      <c r="AD40" s="71">
        <v>10.298</v>
      </c>
      <c r="AE40" s="47"/>
    </row>
    <row r="41" spans="1:31">
      <c r="A41" s="71">
        <v>38.707999999999998</v>
      </c>
      <c r="B41" s="71">
        <v>23.945</v>
      </c>
      <c r="C41" s="71">
        <v>27.744</v>
      </c>
      <c r="D41" s="71">
        <v>14.962</v>
      </c>
      <c r="E41" s="71">
        <v>11.21</v>
      </c>
      <c r="F41" s="71">
        <v>46.972000000000001</v>
      </c>
      <c r="G41" s="71">
        <v>18.238</v>
      </c>
      <c r="H41" s="71">
        <v>21.190999999999999</v>
      </c>
      <c r="I41" s="71">
        <v>19.248000000000001</v>
      </c>
      <c r="J41" s="71">
        <v>14.843</v>
      </c>
      <c r="K41" s="71">
        <v>32.131</v>
      </c>
      <c r="L41" s="71">
        <v>22.611000000000001</v>
      </c>
      <c r="M41" s="71">
        <v>25.512</v>
      </c>
      <c r="N41" s="71">
        <v>17.986999999999998</v>
      </c>
      <c r="O41" s="71">
        <v>16.788</v>
      </c>
      <c r="P41" s="71">
        <v>27.992999999999999</v>
      </c>
      <c r="Q41" s="71">
        <v>20.343</v>
      </c>
      <c r="R41" s="71">
        <v>24.690999999999999</v>
      </c>
      <c r="S41" s="71">
        <v>21.228999999999999</v>
      </c>
      <c r="T41" s="71">
        <v>11.587</v>
      </c>
      <c r="U41" s="71">
        <v>36.561</v>
      </c>
      <c r="V41" s="71">
        <v>41.110999999999997</v>
      </c>
      <c r="W41" s="71">
        <v>37.353999999999999</v>
      </c>
      <c r="X41" s="71">
        <v>21.864000000000001</v>
      </c>
      <c r="Y41" s="71">
        <v>8.1519999999999992</v>
      </c>
      <c r="Z41" s="71">
        <v>44.354999999999997</v>
      </c>
      <c r="AA41" s="71">
        <v>30.463999999999999</v>
      </c>
      <c r="AB41" s="71">
        <v>38.048999999999999</v>
      </c>
      <c r="AC41" s="71">
        <v>26</v>
      </c>
      <c r="AD41" s="71">
        <v>9.9390000000000001</v>
      </c>
      <c r="AE41" s="47"/>
    </row>
    <row r="42" spans="1:31">
      <c r="A42" s="71">
        <v>37.341999999999999</v>
      </c>
      <c r="B42" s="71">
        <v>22.673999999999999</v>
      </c>
      <c r="C42" s="71">
        <v>26.969000000000001</v>
      </c>
      <c r="D42" s="71">
        <v>13.707000000000001</v>
      </c>
      <c r="E42" s="71">
        <v>10.996</v>
      </c>
      <c r="F42" s="71">
        <v>45.936</v>
      </c>
      <c r="G42" s="71">
        <v>17.736999999999998</v>
      </c>
      <c r="H42" s="71">
        <v>20.501999999999999</v>
      </c>
      <c r="I42" s="71">
        <v>18.896000000000001</v>
      </c>
      <c r="J42" s="71">
        <v>13.66</v>
      </c>
      <c r="K42" s="71">
        <v>31.988</v>
      </c>
      <c r="L42" s="71">
        <v>22.291</v>
      </c>
      <c r="M42" s="71">
        <v>22.61</v>
      </c>
      <c r="N42" s="71">
        <v>17.556000000000001</v>
      </c>
      <c r="O42" s="71">
        <v>16.707999999999998</v>
      </c>
      <c r="P42" s="71">
        <v>26.885999999999999</v>
      </c>
      <c r="Q42" s="71">
        <v>19.616</v>
      </c>
      <c r="R42" s="71">
        <v>24.585000000000001</v>
      </c>
      <c r="S42" s="71">
        <v>21.218</v>
      </c>
      <c r="T42" s="71">
        <v>11.476000000000001</v>
      </c>
      <c r="U42" s="71">
        <v>36.386000000000003</v>
      </c>
      <c r="V42" s="71">
        <v>40.860999999999997</v>
      </c>
      <c r="W42" s="71">
        <v>35.6</v>
      </c>
      <c r="X42" s="71">
        <v>20.617999999999999</v>
      </c>
      <c r="Y42" s="71"/>
      <c r="Z42" s="71">
        <v>43.927999999999997</v>
      </c>
      <c r="AA42" s="71">
        <v>30.077999999999999</v>
      </c>
      <c r="AB42" s="71">
        <v>37.911000000000001</v>
      </c>
      <c r="AC42" s="71">
        <v>24.332999999999998</v>
      </c>
      <c r="AD42" s="71">
        <v>9.5660000000000007</v>
      </c>
      <c r="AE42" s="47"/>
    </row>
    <row r="43" spans="1:31">
      <c r="A43" s="71">
        <v>35.969000000000001</v>
      </c>
      <c r="B43" s="71">
        <v>19.018999999999998</v>
      </c>
      <c r="C43" s="71">
        <v>26.841000000000001</v>
      </c>
      <c r="D43" s="71">
        <v>13.254</v>
      </c>
      <c r="E43" s="71">
        <v>10.369</v>
      </c>
      <c r="F43" s="71">
        <v>38.994999999999997</v>
      </c>
      <c r="G43" s="71">
        <v>17.481999999999999</v>
      </c>
      <c r="H43" s="71">
        <v>20.326000000000001</v>
      </c>
      <c r="I43" s="71">
        <v>18.141999999999999</v>
      </c>
      <c r="J43" s="71">
        <v>11.2597</v>
      </c>
      <c r="K43" s="71">
        <v>31.83</v>
      </c>
      <c r="L43" s="71">
        <v>19.555</v>
      </c>
      <c r="M43" s="71">
        <v>16.981999999999999</v>
      </c>
      <c r="N43" s="71">
        <v>16.693000000000001</v>
      </c>
      <c r="O43" s="71">
        <v>16.542999999999999</v>
      </c>
      <c r="P43" s="71">
        <v>25.745999999999999</v>
      </c>
      <c r="Q43" s="71">
        <v>19.434000000000001</v>
      </c>
      <c r="R43" s="71">
        <v>24.312000000000001</v>
      </c>
      <c r="S43" s="71">
        <v>20.151</v>
      </c>
      <c r="T43" s="71">
        <v>11.141</v>
      </c>
      <c r="U43" s="71">
        <v>35.914000000000001</v>
      </c>
      <c r="V43" s="71">
        <v>29.574999999999999</v>
      </c>
      <c r="W43" s="71">
        <v>34.207000000000001</v>
      </c>
      <c r="X43" s="71">
        <v>19.113</v>
      </c>
      <c r="Y43" s="71"/>
      <c r="Z43" s="71">
        <v>39.557000000000002</v>
      </c>
      <c r="AA43" s="71">
        <v>28.55</v>
      </c>
      <c r="AB43" s="71">
        <v>37.561999999999998</v>
      </c>
      <c r="AC43" s="71">
        <v>23.472000000000001</v>
      </c>
      <c r="AD43" s="71">
        <v>9.3550000000000004</v>
      </c>
      <c r="AE43" s="47"/>
    </row>
    <row r="44" spans="1:31">
      <c r="A44" s="71">
        <v>34.963999999999999</v>
      </c>
      <c r="B44" s="71">
        <v>18.722000000000001</v>
      </c>
      <c r="C44" s="71">
        <v>25.536999999999999</v>
      </c>
      <c r="D44" s="71">
        <v>13.17</v>
      </c>
      <c r="E44" s="71">
        <v>8.9109999999999996</v>
      </c>
      <c r="F44" s="71">
        <v>38.728000000000002</v>
      </c>
      <c r="G44" s="71">
        <v>17.023</v>
      </c>
      <c r="H44" s="71">
        <v>19.433</v>
      </c>
      <c r="I44" s="71">
        <v>17.995000000000001</v>
      </c>
      <c r="J44" s="71">
        <v>10.217000000000001</v>
      </c>
      <c r="K44" s="71">
        <v>31.045999999999999</v>
      </c>
      <c r="L44" s="71">
        <v>17.797000000000001</v>
      </c>
      <c r="M44" s="71">
        <v>15.144</v>
      </c>
      <c r="N44" s="71">
        <v>16.617999999999999</v>
      </c>
      <c r="O44" s="71">
        <v>14.223000000000001</v>
      </c>
      <c r="P44" s="71">
        <v>24.821000000000002</v>
      </c>
      <c r="Q44" s="71">
        <v>14.991</v>
      </c>
      <c r="R44" s="71">
        <v>23.757000000000001</v>
      </c>
      <c r="S44" s="71">
        <v>19.603000000000002</v>
      </c>
      <c r="T44" s="71">
        <v>10.938000000000001</v>
      </c>
      <c r="U44" s="71">
        <v>31.286999999999999</v>
      </c>
      <c r="V44" s="71">
        <v>28.759</v>
      </c>
      <c r="W44" s="71">
        <v>32.771000000000001</v>
      </c>
      <c r="X44" s="71">
        <v>19.024999999999999</v>
      </c>
      <c r="Y44" s="71"/>
      <c r="Z44" s="71">
        <v>38.947000000000003</v>
      </c>
      <c r="AA44" s="71">
        <v>27.045000000000002</v>
      </c>
      <c r="AB44" s="71">
        <v>37.213999999999999</v>
      </c>
      <c r="AC44" s="71">
        <v>22.706</v>
      </c>
      <c r="AD44" s="71">
        <v>8.7189999999999994</v>
      </c>
      <c r="AE44" s="47"/>
    </row>
    <row r="45" spans="1:31">
      <c r="A45" s="71">
        <v>33.768999999999998</v>
      </c>
      <c r="B45" s="71">
        <v>16.425999999999998</v>
      </c>
      <c r="C45" s="71">
        <v>24.305</v>
      </c>
      <c r="D45" s="71">
        <v>13.029</v>
      </c>
      <c r="E45" s="71">
        <v>8.7129999999999992</v>
      </c>
      <c r="F45" s="71">
        <v>35.404000000000003</v>
      </c>
      <c r="G45" s="71">
        <v>16.039000000000001</v>
      </c>
      <c r="H45" s="71">
        <v>19.416</v>
      </c>
      <c r="I45" s="71">
        <v>17.667999999999999</v>
      </c>
      <c r="J45" s="71">
        <v>9.1997</v>
      </c>
      <c r="K45" s="71">
        <v>27.622</v>
      </c>
      <c r="L45" s="71">
        <v>15.999000000000001</v>
      </c>
      <c r="M45" s="71">
        <v>13.625999999999999</v>
      </c>
      <c r="N45" s="71">
        <v>15.664</v>
      </c>
      <c r="O45" s="71">
        <v>14.221</v>
      </c>
      <c r="P45" s="71">
        <v>23.494</v>
      </c>
      <c r="Q45" s="71">
        <v>13.489000000000001</v>
      </c>
      <c r="R45" s="71">
        <v>23.103000000000002</v>
      </c>
      <c r="S45" s="71">
        <v>18.861000000000001</v>
      </c>
      <c r="T45" s="71">
        <v>10.561</v>
      </c>
      <c r="U45" s="71">
        <v>30.742999999999999</v>
      </c>
      <c r="V45" s="71">
        <v>27.225999999999999</v>
      </c>
      <c r="W45" s="71">
        <v>31.911999999999999</v>
      </c>
      <c r="X45" s="71">
        <v>18.161999999999999</v>
      </c>
      <c r="Y45" s="71"/>
      <c r="Z45" s="71">
        <v>38.856999999999999</v>
      </c>
      <c r="AA45" s="71">
        <v>24.210999999999999</v>
      </c>
      <c r="AB45" s="71">
        <v>35.011000000000003</v>
      </c>
      <c r="AC45" s="71">
        <v>21.605</v>
      </c>
      <c r="AD45" s="71">
        <v>8.6639999999999997</v>
      </c>
      <c r="AE45" s="47"/>
    </row>
    <row r="46" spans="1:31">
      <c r="A46" s="71">
        <v>33.174999999999997</v>
      </c>
      <c r="B46" s="71">
        <v>16.385999999999999</v>
      </c>
      <c r="C46" s="71">
        <v>23.556000000000001</v>
      </c>
      <c r="D46" s="71">
        <v>12.878</v>
      </c>
      <c r="E46" s="71"/>
      <c r="F46" s="71">
        <v>35.185000000000002</v>
      </c>
      <c r="G46" s="71">
        <v>16.012</v>
      </c>
      <c r="H46" s="71">
        <v>18.59</v>
      </c>
      <c r="I46" s="71">
        <v>15.747999999999999</v>
      </c>
      <c r="J46" s="71">
        <v>8.3870000000000005</v>
      </c>
      <c r="K46" s="71">
        <v>25.933</v>
      </c>
      <c r="L46" s="71">
        <v>14.568</v>
      </c>
      <c r="M46" s="71">
        <v>10.055</v>
      </c>
      <c r="N46" s="71">
        <v>14.515000000000001</v>
      </c>
      <c r="O46" s="71">
        <v>13.9</v>
      </c>
      <c r="P46" s="71">
        <v>22.597999999999999</v>
      </c>
      <c r="Q46" s="71">
        <v>13.48</v>
      </c>
      <c r="R46" s="71">
        <v>22.814</v>
      </c>
      <c r="S46" s="71">
        <v>17.582999999999998</v>
      </c>
      <c r="T46" s="71">
        <v>10.425000000000001</v>
      </c>
      <c r="U46" s="71">
        <v>27.981999999999999</v>
      </c>
      <c r="V46" s="71">
        <v>26.646000000000001</v>
      </c>
      <c r="W46" s="71">
        <v>31.622</v>
      </c>
      <c r="X46" s="71">
        <v>17.942</v>
      </c>
      <c r="Y46" s="71"/>
      <c r="Z46" s="71">
        <v>35.529000000000003</v>
      </c>
      <c r="AA46" s="71">
        <v>23.986999999999998</v>
      </c>
      <c r="AB46" s="71">
        <v>34.963000000000001</v>
      </c>
      <c r="AC46" s="71">
        <v>21.100999999999999</v>
      </c>
      <c r="AD46" s="71">
        <v>8.6470000000000002</v>
      </c>
      <c r="AE46" s="47"/>
    </row>
    <row r="47" spans="1:31">
      <c r="A47" s="71">
        <v>33.024000000000001</v>
      </c>
      <c r="B47" s="71">
        <v>14.76</v>
      </c>
      <c r="C47" s="71">
        <v>22.728999999999999</v>
      </c>
      <c r="D47" s="71">
        <v>12.526999999999999</v>
      </c>
      <c r="E47" s="71"/>
      <c r="F47" s="71">
        <v>34.216999999999999</v>
      </c>
      <c r="G47" s="71">
        <v>15.278</v>
      </c>
      <c r="H47" s="71">
        <v>18.324000000000002</v>
      </c>
      <c r="I47" s="71">
        <v>14.680999999999999</v>
      </c>
      <c r="J47" s="71"/>
      <c r="K47" s="71">
        <v>25.532599999999999</v>
      </c>
      <c r="L47" s="71">
        <v>12.952</v>
      </c>
      <c r="M47" s="71">
        <v>8.2569999999999997</v>
      </c>
      <c r="N47" s="71">
        <v>13.55</v>
      </c>
      <c r="O47" s="71">
        <v>13.878</v>
      </c>
      <c r="P47" s="71">
        <v>20.545999999999999</v>
      </c>
      <c r="Q47" s="71">
        <v>12.87</v>
      </c>
      <c r="R47" s="71">
        <v>20.631</v>
      </c>
      <c r="S47" s="71">
        <v>16.765999999999998</v>
      </c>
      <c r="T47" s="71">
        <v>10.057</v>
      </c>
      <c r="U47" s="71">
        <v>26.372</v>
      </c>
      <c r="V47" s="71">
        <v>25.05</v>
      </c>
      <c r="W47" s="71">
        <v>31.608000000000001</v>
      </c>
      <c r="X47" s="71">
        <v>17.661999999999999</v>
      </c>
      <c r="Y47" s="71"/>
      <c r="Z47" s="71">
        <v>34.837000000000003</v>
      </c>
      <c r="AA47" s="71">
        <v>23.146799999999999</v>
      </c>
      <c r="AB47" s="71">
        <v>32.837000000000003</v>
      </c>
      <c r="AC47" s="71">
        <v>20.934000000000001</v>
      </c>
      <c r="AD47" s="71">
        <v>8.2859999999999996</v>
      </c>
      <c r="AE47" s="47"/>
    </row>
    <row r="48" spans="1:31">
      <c r="A48" s="71">
        <v>27.332000000000001</v>
      </c>
      <c r="B48" s="71">
        <v>12.891</v>
      </c>
      <c r="C48" s="71">
        <v>19.507999999999999</v>
      </c>
      <c r="D48" s="71">
        <v>12.239000000000001</v>
      </c>
      <c r="E48" s="71"/>
      <c r="F48" s="71">
        <v>34.177999999999997</v>
      </c>
      <c r="G48" s="71">
        <v>14.688000000000001</v>
      </c>
      <c r="H48" s="71">
        <v>17.762</v>
      </c>
      <c r="I48" s="71">
        <v>14.461</v>
      </c>
      <c r="J48" s="71"/>
      <c r="K48" s="71">
        <v>24.753</v>
      </c>
      <c r="L48" s="71">
        <v>11.772</v>
      </c>
      <c r="M48" s="71"/>
      <c r="N48" s="71">
        <v>12.654999999999999</v>
      </c>
      <c r="O48" s="71">
        <v>13.766</v>
      </c>
      <c r="P48" s="71">
        <v>20.382000000000001</v>
      </c>
      <c r="Q48" s="71">
        <v>12.407</v>
      </c>
      <c r="R48" s="71">
        <v>19.414000000000001</v>
      </c>
      <c r="S48" s="71">
        <v>16.59</v>
      </c>
      <c r="T48" s="71"/>
      <c r="U48" s="71">
        <v>21.32</v>
      </c>
      <c r="V48" s="71">
        <v>23.372</v>
      </c>
      <c r="W48" s="71">
        <v>30.215</v>
      </c>
      <c r="X48" s="71">
        <v>17.556999999999999</v>
      </c>
      <c r="Y48" s="71"/>
      <c r="Z48" s="71">
        <v>34.409999999999997</v>
      </c>
      <c r="AA48" s="71">
        <v>23.047999999999998</v>
      </c>
      <c r="AB48" s="71">
        <v>31.972000000000001</v>
      </c>
      <c r="AC48" s="71">
        <v>20.899000000000001</v>
      </c>
      <c r="AD48" s="71">
        <v>8.2089999999999996</v>
      </c>
      <c r="AE48" s="47"/>
    </row>
    <row r="49" spans="1:31">
      <c r="A49" s="71">
        <v>21.338000000000001</v>
      </c>
      <c r="B49" s="71">
        <v>12.491</v>
      </c>
      <c r="C49" s="71">
        <v>15.737</v>
      </c>
      <c r="D49" s="71">
        <v>12.076000000000001</v>
      </c>
      <c r="E49" s="71"/>
      <c r="F49" s="71">
        <v>32.448</v>
      </c>
      <c r="G49" s="71">
        <v>14.657</v>
      </c>
      <c r="H49" s="71">
        <v>16.942</v>
      </c>
      <c r="I49" s="71">
        <v>12.239000000000001</v>
      </c>
      <c r="J49" s="71"/>
      <c r="K49" s="71">
        <v>23.010999999999999</v>
      </c>
      <c r="L49" s="71"/>
      <c r="M49" s="71"/>
      <c r="N49" s="71">
        <v>12.646000000000001</v>
      </c>
      <c r="O49" s="71">
        <v>13.406000000000001</v>
      </c>
      <c r="P49" s="71">
        <v>16.100999999999999</v>
      </c>
      <c r="Q49" s="71">
        <v>11.618</v>
      </c>
      <c r="R49" s="71">
        <v>15.750999999999999</v>
      </c>
      <c r="S49" s="71">
        <v>16.091999999999999</v>
      </c>
      <c r="T49" s="71"/>
      <c r="U49" s="71">
        <v>19.169</v>
      </c>
      <c r="V49" s="71">
        <v>20.170000000000002</v>
      </c>
      <c r="W49" s="71">
        <v>30.2</v>
      </c>
      <c r="X49" s="71">
        <v>17.071000000000002</v>
      </c>
      <c r="Y49" s="71"/>
      <c r="Z49" s="71">
        <v>33.899000000000001</v>
      </c>
      <c r="AA49" s="71">
        <v>21.957999999999998</v>
      </c>
      <c r="AB49" s="71">
        <v>30.363</v>
      </c>
      <c r="AC49" s="71">
        <v>20.285</v>
      </c>
      <c r="AD49" s="71"/>
      <c r="AE49" s="47"/>
    </row>
    <row r="50" spans="1:31">
      <c r="A50" s="71">
        <v>16.920999999999999</v>
      </c>
      <c r="B50" s="71">
        <v>10.509</v>
      </c>
      <c r="C50" s="71">
        <v>13.849</v>
      </c>
      <c r="D50" s="71">
        <v>12.055</v>
      </c>
      <c r="E50" s="71"/>
      <c r="F50" s="71">
        <v>30.998999999999999</v>
      </c>
      <c r="G50" s="71">
        <v>13.571</v>
      </c>
      <c r="H50" s="71">
        <v>16.71</v>
      </c>
      <c r="I50" s="71">
        <v>9.0389999999999997</v>
      </c>
      <c r="J50" s="71"/>
      <c r="K50" s="71">
        <v>22.776</v>
      </c>
      <c r="L50" s="71"/>
      <c r="M50" s="47"/>
      <c r="N50" s="71">
        <v>11.1652</v>
      </c>
      <c r="O50" s="71">
        <v>13.206</v>
      </c>
      <c r="P50" s="71">
        <v>13.678000000000001</v>
      </c>
      <c r="Q50" s="71">
        <v>11.613</v>
      </c>
      <c r="R50" s="71">
        <v>14.663</v>
      </c>
      <c r="S50" s="71">
        <v>15.132</v>
      </c>
      <c r="T50" s="71"/>
      <c r="U50" s="71">
        <v>15.47</v>
      </c>
      <c r="V50" s="71">
        <v>19.692</v>
      </c>
      <c r="W50" s="71">
        <v>25.195</v>
      </c>
      <c r="X50" s="71">
        <v>14.13786</v>
      </c>
      <c r="Y50" s="71"/>
      <c r="Z50" s="71">
        <v>32.183</v>
      </c>
      <c r="AA50" s="71">
        <v>15.962</v>
      </c>
      <c r="AB50" s="71">
        <v>26.562999999999999</v>
      </c>
      <c r="AC50" s="71">
        <v>19.88</v>
      </c>
      <c r="AD50" s="71"/>
      <c r="AE50" s="47"/>
    </row>
    <row r="51" spans="1:31">
      <c r="A51" s="71">
        <v>12.430999999999999</v>
      </c>
      <c r="B51" s="71">
        <v>9.5289999999999999</v>
      </c>
      <c r="C51" s="71">
        <v>11.506</v>
      </c>
      <c r="D51" s="71">
        <v>11.367000000000001</v>
      </c>
      <c r="E51" s="71"/>
      <c r="F51" s="71">
        <v>28.501999999999999</v>
      </c>
      <c r="G51" s="71">
        <v>13.554</v>
      </c>
      <c r="H51" s="71">
        <v>16.538</v>
      </c>
      <c r="I51" s="71">
        <v>8.2469999999999999</v>
      </c>
      <c r="J51" s="71"/>
      <c r="K51" s="71">
        <v>22.317</v>
      </c>
      <c r="L51" s="71"/>
      <c r="M51" s="47"/>
      <c r="N51" s="71"/>
      <c r="O51" s="71">
        <v>12.914</v>
      </c>
      <c r="P51" s="71">
        <v>12.585000000000001</v>
      </c>
      <c r="Q51" s="71">
        <v>11.221</v>
      </c>
      <c r="R51" s="71">
        <v>13.92</v>
      </c>
      <c r="S51" s="71">
        <v>13.375999999999999</v>
      </c>
      <c r="T51" s="71"/>
      <c r="U51" s="71">
        <v>15.166</v>
      </c>
      <c r="V51" s="71">
        <v>18.195</v>
      </c>
      <c r="W51" s="71">
        <v>22.335999999999999</v>
      </c>
      <c r="X51" s="71">
        <v>13.81617</v>
      </c>
      <c r="Y51" s="71"/>
      <c r="Z51" s="71">
        <v>28.341000000000001</v>
      </c>
      <c r="AA51" s="71">
        <v>10.247999999999999</v>
      </c>
      <c r="AB51" s="71">
        <v>22.414999999999999</v>
      </c>
      <c r="AC51" s="71">
        <v>19.661999999999999</v>
      </c>
      <c r="AD51" s="71"/>
      <c r="AE51" s="47"/>
    </row>
    <row r="52" spans="1:31">
      <c r="A52" s="71">
        <v>8.9589999999999996</v>
      </c>
      <c r="B52" s="71"/>
      <c r="C52" s="71"/>
      <c r="D52" s="71">
        <v>11.22</v>
      </c>
      <c r="E52" s="71"/>
      <c r="F52" s="71">
        <v>26.222999999999999</v>
      </c>
      <c r="G52" s="71">
        <v>10.664999999999999</v>
      </c>
      <c r="H52" s="71">
        <v>15.369</v>
      </c>
      <c r="I52" s="71">
        <v>8.02</v>
      </c>
      <c r="J52" s="71"/>
      <c r="K52" s="71">
        <v>15.028</v>
      </c>
      <c r="L52" s="71"/>
      <c r="M52" s="47"/>
      <c r="N52" s="71"/>
      <c r="O52" s="71">
        <v>12.824999999999999</v>
      </c>
      <c r="P52" s="71">
        <v>11.627000000000001</v>
      </c>
      <c r="Q52" s="71"/>
      <c r="R52" s="71"/>
      <c r="S52" s="71">
        <v>13.256</v>
      </c>
      <c r="T52" s="71"/>
      <c r="U52" s="71">
        <v>13.938000000000001</v>
      </c>
      <c r="V52" s="71">
        <v>17.48</v>
      </c>
      <c r="W52" s="71">
        <v>21.327000000000002</v>
      </c>
      <c r="X52" s="71">
        <v>13.571999999999999</v>
      </c>
      <c r="Y52" s="71"/>
      <c r="Z52" s="71">
        <v>24.405000000000001</v>
      </c>
      <c r="AA52" s="71">
        <v>9.1769999999999996</v>
      </c>
      <c r="AB52" s="71">
        <v>21.962</v>
      </c>
      <c r="AC52" s="71">
        <v>19.390999999999998</v>
      </c>
      <c r="AD52" s="71"/>
      <c r="AE52" s="47"/>
    </row>
    <row r="53" spans="1:31">
      <c r="A53" s="71"/>
      <c r="B53" s="71"/>
      <c r="C53" s="71"/>
      <c r="D53" s="71">
        <v>11.082000000000001</v>
      </c>
      <c r="E53" s="71"/>
      <c r="F53" s="71">
        <v>19.811</v>
      </c>
      <c r="G53" s="71">
        <v>9.7850000000000001</v>
      </c>
      <c r="H53" s="71">
        <v>12.992000000000001</v>
      </c>
      <c r="I53" s="71"/>
      <c r="J53" s="71"/>
      <c r="K53" s="71">
        <v>11.45</v>
      </c>
      <c r="L53" s="71"/>
      <c r="M53" s="47"/>
      <c r="N53" s="71"/>
      <c r="O53" s="71">
        <v>12.089</v>
      </c>
      <c r="P53" s="71">
        <v>9.4290000000000003</v>
      </c>
      <c r="Q53" s="71"/>
      <c r="R53" s="71"/>
      <c r="S53" s="71">
        <v>10.39</v>
      </c>
      <c r="T53" s="71"/>
      <c r="U53" s="71">
        <v>9.2309999999999999</v>
      </c>
      <c r="V53" s="71">
        <v>13.898</v>
      </c>
      <c r="W53" s="71">
        <v>20.648</v>
      </c>
      <c r="X53" s="71">
        <v>13.51</v>
      </c>
      <c r="Y53" s="71"/>
      <c r="Z53" s="71">
        <v>22.652999999999999</v>
      </c>
      <c r="AA53" s="71">
        <v>8.9809999999999999</v>
      </c>
      <c r="AB53" s="71">
        <v>19.853999999999999</v>
      </c>
      <c r="AC53" s="71">
        <v>18.526</v>
      </c>
      <c r="AD53" s="71"/>
      <c r="AE53" s="47"/>
    </row>
    <row r="54" spans="1:31">
      <c r="A54" s="71"/>
      <c r="B54" s="71"/>
      <c r="C54" s="71"/>
      <c r="D54" s="71">
        <v>10.464</v>
      </c>
      <c r="E54" s="71"/>
      <c r="F54" s="71">
        <v>19.917999999999999</v>
      </c>
      <c r="G54" s="71"/>
      <c r="H54" s="71">
        <v>12.781000000000001</v>
      </c>
      <c r="I54" s="71"/>
      <c r="J54" s="71"/>
      <c r="K54" s="71">
        <v>13.054</v>
      </c>
      <c r="L54" s="71"/>
      <c r="M54" s="47"/>
      <c r="N54" s="71"/>
      <c r="O54" s="71">
        <v>10.351000000000001</v>
      </c>
      <c r="P54" s="71"/>
      <c r="Q54" s="71"/>
      <c r="R54" s="71"/>
      <c r="S54" s="71"/>
      <c r="T54" s="71"/>
      <c r="U54" s="71"/>
      <c r="V54" s="71">
        <v>12.183999999999999</v>
      </c>
      <c r="W54" s="71">
        <v>13.045</v>
      </c>
      <c r="X54" s="71"/>
      <c r="Y54" s="71"/>
      <c r="Z54" s="71">
        <v>21.696999999999999</v>
      </c>
      <c r="AA54" s="71">
        <v>8.9309999999999992</v>
      </c>
      <c r="AB54" s="71">
        <v>19.047999999999998</v>
      </c>
      <c r="AC54" s="71">
        <v>15.265000000000001</v>
      </c>
      <c r="AD54" s="71"/>
      <c r="AE54" s="47"/>
    </row>
    <row r="55" spans="1:31">
      <c r="A55" s="71"/>
      <c r="B55" s="71"/>
      <c r="C55" s="71"/>
      <c r="D55" s="71">
        <v>9.141</v>
      </c>
      <c r="E55" s="71"/>
      <c r="F55" s="71">
        <v>10.717000000000001</v>
      </c>
      <c r="G55" s="71"/>
      <c r="H55" s="71">
        <v>13.478999999999999</v>
      </c>
      <c r="I55" s="71"/>
      <c r="J55" s="71"/>
      <c r="K55" s="71">
        <v>10.303000000000001</v>
      </c>
      <c r="L55" s="71"/>
      <c r="M55" s="71"/>
      <c r="N55" s="71"/>
      <c r="O55" s="71">
        <v>10.242000000000001</v>
      </c>
      <c r="P55" s="71"/>
      <c r="Q55" s="71"/>
      <c r="R55" s="71"/>
      <c r="S55" s="71"/>
      <c r="T55" s="71"/>
      <c r="U55" s="71"/>
      <c r="V55" s="71">
        <v>9.0410000000000004</v>
      </c>
      <c r="W55" s="71">
        <v>11.617000000000001</v>
      </c>
      <c r="X55" s="71"/>
      <c r="Y55" s="71"/>
      <c r="Z55" s="71">
        <v>21.63</v>
      </c>
      <c r="AA55" s="71">
        <v>10.753</v>
      </c>
      <c r="AB55" s="71">
        <v>17.36</v>
      </c>
      <c r="AC55" s="71">
        <v>15.243</v>
      </c>
      <c r="AD55" s="71"/>
      <c r="AE55" s="47"/>
    </row>
    <row r="56" spans="1:31">
      <c r="A56" s="71"/>
      <c r="B56" s="71"/>
      <c r="C56" s="71"/>
      <c r="D56" s="71"/>
      <c r="E56" s="71"/>
      <c r="G56" s="71"/>
      <c r="H56" s="71"/>
      <c r="I56" s="71"/>
      <c r="J56" s="71"/>
      <c r="K56" s="71"/>
      <c r="L56" s="71"/>
      <c r="M56" s="71"/>
      <c r="N56" s="71"/>
      <c r="O56" s="71"/>
      <c r="P56" s="71"/>
      <c r="Q56" s="71"/>
      <c r="R56" s="71"/>
      <c r="S56" s="71"/>
      <c r="T56" s="71"/>
      <c r="U56" s="71"/>
      <c r="V56" s="71"/>
      <c r="W56" s="71"/>
      <c r="X56" s="71"/>
      <c r="Y56" s="71"/>
      <c r="Z56" s="71">
        <v>21.251000000000001</v>
      </c>
      <c r="AA56" s="71"/>
      <c r="AB56" s="71">
        <v>10.329000000000001</v>
      </c>
      <c r="AC56" s="71">
        <v>9.5190000000000001</v>
      </c>
      <c r="AD56" s="71"/>
      <c r="AE56" s="47"/>
    </row>
    <row r="57" spans="1:31">
      <c r="A57" s="71"/>
      <c r="B57" s="47"/>
      <c r="C57" s="47"/>
      <c r="D57" s="47"/>
      <c r="E57" s="47"/>
      <c r="F57" s="47"/>
      <c r="G57" s="47"/>
      <c r="H57" s="47"/>
      <c r="I57" s="47"/>
      <c r="J57" s="47"/>
      <c r="K57" s="47"/>
      <c r="L57" s="47"/>
      <c r="M57" s="47"/>
      <c r="N57" s="47"/>
      <c r="O57" s="47"/>
      <c r="P57" s="47"/>
      <c r="Q57" s="47"/>
      <c r="R57" s="47"/>
      <c r="S57" s="47"/>
      <c r="T57" s="47"/>
      <c r="U57" s="47"/>
      <c r="V57" s="47"/>
      <c r="W57" s="47"/>
      <c r="X57" s="47"/>
      <c r="Y57" s="47"/>
      <c r="Z57" s="72">
        <v>18.469000000000001</v>
      </c>
      <c r="AA57" s="47"/>
      <c r="AB57" s="47"/>
      <c r="AC57" s="47"/>
      <c r="AD57" s="47"/>
      <c r="AE57" s="47"/>
    </row>
    <row r="58" spans="1:31">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row>
    <row r="59" spans="1:31">
      <c r="A59" t="s">
        <v>20</v>
      </c>
    </row>
    <row r="60" spans="1:31">
      <c r="A60" t="s">
        <v>337</v>
      </c>
      <c r="B60" s="5">
        <f>_xlfn.T.TEST(A4:A52,B4:B51,2,2)</f>
        <v>1.2466236614395789E-4</v>
      </c>
    </row>
    <row r="61" spans="1:31">
      <c r="A61" t="s">
        <v>338</v>
      </c>
      <c r="B61" s="46">
        <f>_xlfn.T.TEST(A4:A52,C4:C51,2,2)</f>
        <v>5.3409382946953063E-3</v>
      </c>
    </row>
    <row r="62" spans="1:31">
      <c r="A62" t="s">
        <v>339</v>
      </c>
      <c r="B62" s="46">
        <f>_xlfn.T.TEST(A4:A52,D4:D55,2,2)</f>
        <v>5.6192017417179058E-11</v>
      </c>
    </row>
    <row r="63" spans="1:31">
      <c r="A63" t="s">
        <v>340</v>
      </c>
      <c r="B63" s="46">
        <f>_xlfn.T.TEST(A4:A52,E4:E45,2,2)</f>
        <v>3.8806851252209654E-14</v>
      </c>
    </row>
    <row r="64" spans="1:31">
      <c r="A64" t="s">
        <v>336</v>
      </c>
      <c r="B64" s="5">
        <f>_xlfn.T.TEST(D4:D55,E4:E45,2,2)</f>
        <v>4.9293664702701988E-3</v>
      </c>
    </row>
    <row r="66" spans="1:2">
      <c r="A66" t="s">
        <v>341</v>
      </c>
      <c r="B66" s="5">
        <f>_xlfn.T.TEST(F4:F54,G4:G53,2,2)</f>
        <v>1.2096410229416951E-7</v>
      </c>
    </row>
    <row r="67" spans="1:2">
      <c r="A67" t="s">
        <v>342</v>
      </c>
      <c r="B67">
        <v>3.8970443220157971E-5</v>
      </c>
    </row>
    <row r="68" spans="1:2">
      <c r="A68" t="s">
        <v>343</v>
      </c>
      <c r="B68">
        <v>2.764027641136518E-8</v>
      </c>
    </row>
    <row r="69" spans="1:2">
      <c r="A69" t="s">
        <v>344</v>
      </c>
      <c r="B69">
        <v>2.1168142043539554E-12</v>
      </c>
    </row>
    <row r="70" spans="1:2">
      <c r="A70" t="s">
        <v>360</v>
      </c>
      <c r="B70" s="5">
        <f>_xlfn.T.TEST(I4:I52,J4:J46,2,2)</f>
        <v>4.3894975218621263E-2</v>
      </c>
    </row>
    <row r="72" spans="1:2">
      <c r="A72" t="s">
        <v>512</v>
      </c>
      <c r="B72" s="5">
        <f>_xlfn.T.TEST(K4:K55,L4:L48,2,2)</f>
        <v>1.8609090497091571E-2</v>
      </c>
    </row>
    <row r="73" spans="1:2">
      <c r="A73" t="s">
        <v>345</v>
      </c>
      <c r="B73">
        <v>1.8128145290118836E-4</v>
      </c>
    </row>
    <row r="74" spans="1:2">
      <c r="A74" t="s">
        <v>346</v>
      </c>
      <c r="B74">
        <v>5.184817081965597E-24</v>
      </c>
    </row>
    <row r="75" spans="1:2">
      <c r="A75" t="s">
        <v>347</v>
      </c>
      <c r="B75">
        <v>4.4335997506896648E-30</v>
      </c>
    </row>
    <row r="76" spans="1:2">
      <c r="A76" t="s">
        <v>361</v>
      </c>
      <c r="B76" s="5">
        <f>_xlfn.T.TEST(N4:N50,O4:O55,2,2)</f>
        <v>1.411186025419373E-3</v>
      </c>
    </row>
    <row r="78" spans="1:2">
      <c r="A78" t="s">
        <v>348</v>
      </c>
      <c r="B78" s="56">
        <f>_xlfn.T.TEST(P4:P53,Q4:Q51,2,2)</f>
        <v>9.5376198878185275E-7</v>
      </c>
    </row>
    <row r="79" spans="1:2">
      <c r="A79" t="s">
        <v>349</v>
      </c>
      <c r="B79">
        <v>2.7438250480601859E-4</v>
      </c>
    </row>
    <row r="80" spans="1:2">
      <c r="A80" t="s">
        <v>350</v>
      </c>
      <c r="B80">
        <v>6.1812772829422064E-9</v>
      </c>
    </row>
    <row r="81" spans="1:2">
      <c r="A81" t="s">
        <v>351</v>
      </c>
      <c r="B81">
        <v>7.3694063880842055E-14</v>
      </c>
    </row>
    <row r="82" spans="1:2">
      <c r="A82" t="s">
        <v>362</v>
      </c>
      <c r="B82" s="5">
        <f>_xlfn.T.TEST(S4:S53,T4:T47,2,2)</f>
        <v>3.239748771301031E-11</v>
      </c>
    </row>
    <row r="84" spans="1:2">
      <c r="A84" t="s">
        <v>359</v>
      </c>
      <c r="B84">
        <f>_xlfn.T.TEST(U4:U53,V4:V55,2,2)</f>
        <v>0.69992499868188474</v>
      </c>
    </row>
    <row r="85" spans="1:2">
      <c r="A85" t="s">
        <v>358</v>
      </c>
      <c r="B85">
        <v>0.12058059150111142</v>
      </c>
    </row>
    <row r="86" spans="1:2">
      <c r="A86" t="s">
        <v>357</v>
      </c>
      <c r="B86">
        <v>3.5297144621503541E-10</v>
      </c>
    </row>
    <row r="87" spans="1:2">
      <c r="A87" t="s">
        <v>356</v>
      </c>
      <c r="B87">
        <v>7.2069431843577083E-13</v>
      </c>
    </row>
    <row r="88" spans="1:2">
      <c r="A88" t="s">
        <v>364</v>
      </c>
      <c r="B88" s="56">
        <f>_xlfn.T.TEST(X4:X53,Y4:Y41,2,2)</f>
        <v>6.1085189943786855E-7</v>
      </c>
    </row>
    <row r="90" spans="1:2">
      <c r="A90" t="s">
        <v>352</v>
      </c>
      <c r="B90" s="5">
        <f>_xlfn.T.TEST(Z4:Z55,AA4:AA55,2,2)</f>
        <v>2.1522887766698768E-2</v>
      </c>
    </row>
    <row r="91" spans="1:2">
      <c r="A91" t="s">
        <v>353</v>
      </c>
      <c r="B91">
        <v>1.1784397865815232E-2</v>
      </c>
    </row>
    <row r="92" spans="1:2">
      <c r="A92" t="s">
        <v>354</v>
      </c>
      <c r="B92">
        <v>1.4687219708173243E-14</v>
      </c>
    </row>
    <row r="93" spans="1:2">
      <c r="A93" t="s">
        <v>355</v>
      </c>
      <c r="B93">
        <v>7.1818929134958653E-25</v>
      </c>
    </row>
    <row r="94" spans="1:2">
      <c r="A94" t="s">
        <v>363</v>
      </c>
      <c r="B94" s="5">
        <f>_xlfn.T.TEST(AC4:AC56,AD4:AD48,2,2)</f>
        <v>5.4316395559236761E-17</v>
      </c>
    </row>
  </sheetData>
  <pageMargins left="0.7" right="0.7" top="0.75" bottom="0.75" header="0.3" footer="0.3"/>
  <pageSetup orientation="portrait" r:id="rId1"/>
  <ignoredErrors>
    <ignoredError sqref="B90"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zoomScale="85" zoomScaleNormal="85" workbookViewId="0"/>
  </sheetViews>
  <sheetFormatPr defaultRowHeight="15"/>
  <cols>
    <col min="1" max="1" width="34.5703125" customWidth="1"/>
    <col min="2" max="2" width="10" bestFit="1" customWidth="1"/>
    <col min="3" max="3" width="9.140625" customWidth="1"/>
    <col min="4" max="5" width="12" bestFit="1" customWidth="1"/>
  </cols>
  <sheetData>
    <row r="1" spans="1:12" ht="15.75">
      <c r="A1" s="75" t="s">
        <v>530</v>
      </c>
    </row>
    <row r="3" spans="1:12">
      <c r="A3" t="s">
        <v>487</v>
      </c>
      <c r="B3" t="s">
        <v>89</v>
      </c>
      <c r="C3" t="s">
        <v>89</v>
      </c>
      <c r="D3" t="s">
        <v>89</v>
      </c>
      <c r="E3" t="s">
        <v>89</v>
      </c>
      <c r="F3" t="s">
        <v>89</v>
      </c>
      <c r="H3" t="s">
        <v>33</v>
      </c>
      <c r="I3" t="s">
        <v>33</v>
      </c>
      <c r="J3" t="s">
        <v>33</v>
      </c>
      <c r="K3" t="s">
        <v>33</v>
      </c>
      <c r="L3" t="s">
        <v>33</v>
      </c>
    </row>
    <row r="4" spans="1:12">
      <c r="A4" t="s">
        <v>167</v>
      </c>
      <c r="B4" t="s">
        <v>0</v>
      </c>
      <c r="C4" t="s">
        <v>1</v>
      </c>
      <c r="D4" t="s">
        <v>2</v>
      </c>
      <c r="E4" t="s">
        <v>3</v>
      </c>
      <c r="F4" t="s">
        <v>4</v>
      </c>
      <c r="H4" t="s">
        <v>0</v>
      </c>
      <c r="I4" t="s">
        <v>1</v>
      </c>
      <c r="J4" t="s">
        <v>2</v>
      </c>
      <c r="K4" t="s">
        <v>3</v>
      </c>
      <c r="L4" t="s">
        <v>4</v>
      </c>
    </row>
    <row r="5" spans="1:12">
      <c r="A5" t="s">
        <v>168</v>
      </c>
      <c r="B5" s="43" t="s">
        <v>169</v>
      </c>
      <c r="C5" t="s">
        <v>170</v>
      </c>
      <c r="D5" t="s">
        <v>171</v>
      </c>
      <c r="E5" s="43" t="s">
        <v>172</v>
      </c>
      <c r="F5" s="43" t="s">
        <v>173</v>
      </c>
      <c r="G5" s="43"/>
      <c r="H5" s="43" t="s">
        <v>174</v>
      </c>
      <c r="I5" s="44" t="s">
        <v>175</v>
      </c>
      <c r="J5" s="43" t="s">
        <v>176</v>
      </c>
      <c r="K5" s="43" t="s">
        <v>177</v>
      </c>
      <c r="L5" s="43" t="s">
        <v>178</v>
      </c>
    </row>
    <row r="6" spans="1:12">
      <c r="A6" t="s">
        <v>179</v>
      </c>
      <c r="B6" s="43" t="s">
        <v>180</v>
      </c>
      <c r="C6" t="s">
        <v>181</v>
      </c>
      <c r="D6" t="s">
        <v>182</v>
      </c>
      <c r="E6" s="43" t="s">
        <v>183</v>
      </c>
      <c r="F6" s="43" t="s">
        <v>184</v>
      </c>
      <c r="G6" s="43"/>
      <c r="H6" s="43" t="s">
        <v>185</v>
      </c>
      <c r="I6" s="44" t="s">
        <v>186</v>
      </c>
      <c r="J6" s="43" t="s">
        <v>187</v>
      </c>
      <c r="K6" s="43" t="s">
        <v>188</v>
      </c>
      <c r="L6" s="43" t="s">
        <v>189</v>
      </c>
    </row>
    <row r="7" spans="1:12">
      <c r="A7" t="s">
        <v>190</v>
      </c>
      <c r="B7" s="43" t="s">
        <v>191</v>
      </c>
      <c r="C7" t="s">
        <v>192</v>
      </c>
      <c r="D7" t="s">
        <v>193</v>
      </c>
      <c r="E7" s="43" t="s">
        <v>194</v>
      </c>
      <c r="F7" s="43" t="s">
        <v>183</v>
      </c>
      <c r="G7" s="43"/>
      <c r="H7" s="43" t="s">
        <v>195</v>
      </c>
      <c r="I7" s="44" t="s">
        <v>169</v>
      </c>
      <c r="J7" s="43" t="s">
        <v>196</v>
      </c>
      <c r="K7" s="43" t="s">
        <v>197</v>
      </c>
      <c r="L7" s="43" t="s">
        <v>198</v>
      </c>
    </row>
    <row r="8" spans="1:12">
      <c r="A8" t="s">
        <v>199</v>
      </c>
      <c r="B8" s="43" t="s">
        <v>200</v>
      </c>
      <c r="C8" t="s">
        <v>201</v>
      </c>
      <c r="D8" t="s">
        <v>202</v>
      </c>
      <c r="E8" s="43" t="s">
        <v>203</v>
      </c>
      <c r="F8" s="43" t="s">
        <v>204</v>
      </c>
      <c r="G8" s="43"/>
      <c r="H8" s="43" t="s">
        <v>294</v>
      </c>
      <c r="I8" s="44" t="s">
        <v>205</v>
      </c>
      <c r="J8" s="43" t="s">
        <v>284</v>
      </c>
      <c r="K8" s="43" t="s">
        <v>207</v>
      </c>
      <c r="L8" s="43" t="s">
        <v>183</v>
      </c>
    </row>
    <row r="9" spans="1:12">
      <c r="A9" t="s">
        <v>208</v>
      </c>
      <c r="B9" s="43" t="s">
        <v>209</v>
      </c>
      <c r="C9" t="s">
        <v>210</v>
      </c>
      <c r="D9" t="s">
        <v>196</v>
      </c>
      <c r="E9" s="43" t="s">
        <v>182</v>
      </c>
      <c r="F9" s="43" t="s">
        <v>211</v>
      </c>
      <c r="G9" s="43"/>
      <c r="H9" s="43" t="s">
        <v>212</v>
      </c>
      <c r="I9" s="44" t="s">
        <v>213</v>
      </c>
      <c r="J9" s="43" t="s">
        <v>182</v>
      </c>
      <c r="K9" s="43" t="s">
        <v>214</v>
      </c>
      <c r="L9" s="43" t="s">
        <v>215</v>
      </c>
    </row>
    <row r="10" spans="1:12">
      <c r="A10" t="s">
        <v>216</v>
      </c>
      <c r="B10" s="43" t="s">
        <v>205</v>
      </c>
      <c r="C10" t="s">
        <v>217</v>
      </c>
      <c r="D10" t="s">
        <v>218</v>
      </c>
      <c r="E10" s="43" t="s">
        <v>219</v>
      </c>
      <c r="F10" s="43" t="s">
        <v>194</v>
      </c>
      <c r="G10" s="43"/>
      <c r="H10" s="43" t="s">
        <v>220</v>
      </c>
      <c r="I10" s="44" t="s">
        <v>221</v>
      </c>
      <c r="J10" s="43" t="s">
        <v>196</v>
      </c>
      <c r="K10" s="43" t="s">
        <v>222</v>
      </c>
      <c r="L10" s="43" t="s">
        <v>223</v>
      </c>
    </row>
    <row r="11" spans="1:12">
      <c r="A11" t="s">
        <v>224</v>
      </c>
      <c r="B11" s="43" t="s">
        <v>225</v>
      </c>
      <c r="C11" t="s">
        <v>226</v>
      </c>
      <c r="D11" t="s">
        <v>227</v>
      </c>
      <c r="E11" s="43" t="s">
        <v>228</v>
      </c>
      <c r="F11" s="43" t="s">
        <v>173</v>
      </c>
      <c r="G11" s="43"/>
      <c r="H11" s="43" t="s">
        <v>205</v>
      </c>
      <c r="I11" s="44" t="s">
        <v>225</v>
      </c>
      <c r="J11" s="43" t="s">
        <v>229</v>
      </c>
      <c r="K11" s="43" t="s">
        <v>217</v>
      </c>
      <c r="L11" s="43" t="s">
        <v>230</v>
      </c>
    </row>
    <row r="12" spans="1:12">
      <c r="A12" t="s">
        <v>231</v>
      </c>
      <c r="B12" s="43" t="s">
        <v>232</v>
      </c>
      <c r="C12" t="s">
        <v>233</v>
      </c>
      <c r="D12" t="s">
        <v>176</v>
      </c>
      <c r="E12" s="43" t="s">
        <v>234</v>
      </c>
      <c r="F12" s="43" t="s">
        <v>204</v>
      </c>
      <c r="G12" s="43"/>
      <c r="H12" s="43" t="s">
        <v>180</v>
      </c>
      <c r="I12" s="44" t="s">
        <v>235</v>
      </c>
      <c r="J12" s="43" t="s">
        <v>236</v>
      </c>
      <c r="K12" s="43" t="s">
        <v>237</v>
      </c>
      <c r="L12" s="43" t="s">
        <v>178</v>
      </c>
    </row>
    <row r="13" spans="1:12">
      <c r="A13" t="s">
        <v>238</v>
      </c>
      <c r="B13" s="43" t="s">
        <v>239</v>
      </c>
      <c r="C13" t="s">
        <v>240</v>
      </c>
      <c r="D13" t="s">
        <v>241</v>
      </c>
      <c r="E13" s="43" t="s">
        <v>198</v>
      </c>
      <c r="F13" s="43" t="s">
        <v>177</v>
      </c>
      <c r="G13" s="43"/>
      <c r="H13" s="43" t="s">
        <v>242</v>
      </c>
      <c r="I13" s="44" t="s">
        <v>200</v>
      </c>
      <c r="J13" s="43" t="s">
        <v>243</v>
      </c>
      <c r="K13" s="43" t="s">
        <v>204</v>
      </c>
      <c r="L13" s="43" t="s">
        <v>244</v>
      </c>
    </row>
    <row r="14" spans="1:12">
      <c r="A14" t="s">
        <v>245</v>
      </c>
      <c r="B14" s="43" t="s">
        <v>246</v>
      </c>
      <c r="C14" t="s">
        <v>235</v>
      </c>
      <c r="D14" t="s">
        <v>247</v>
      </c>
      <c r="E14" s="43" t="s">
        <v>248</v>
      </c>
      <c r="F14" s="43" t="s">
        <v>198</v>
      </c>
      <c r="G14" s="43"/>
      <c r="H14" s="43" t="s">
        <v>200</v>
      </c>
      <c r="I14" s="44" t="s">
        <v>176</v>
      </c>
      <c r="J14" s="43" t="s">
        <v>193</v>
      </c>
      <c r="K14" s="43" t="s">
        <v>183</v>
      </c>
      <c r="L14" s="43" t="s">
        <v>228</v>
      </c>
    </row>
    <row r="15" spans="1:12">
      <c r="E15" s="45"/>
      <c r="I15" s="46"/>
    </row>
    <row r="16" spans="1:12">
      <c r="B16" t="s">
        <v>89</v>
      </c>
      <c r="C16" t="s">
        <v>89</v>
      </c>
      <c r="D16" t="s">
        <v>89</v>
      </c>
      <c r="E16" t="s">
        <v>89</v>
      </c>
      <c r="F16" t="s">
        <v>89</v>
      </c>
      <c r="H16" t="s">
        <v>33</v>
      </c>
      <c r="I16" s="46" t="s">
        <v>33</v>
      </c>
      <c r="J16" t="s">
        <v>33</v>
      </c>
      <c r="K16" t="s">
        <v>33</v>
      </c>
      <c r="L16" t="s">
        <v>33</v>
      </c>
    </row>
    <row r="17" spans="1:12">
      <c r="A17" t="s">
        <v>249</v>
      </c>
      <c r="B17" t="s">
        <v>0</v>
      </c>
      <c r="C17" t="s">
        <v>1</v>
      </c>
      <c r="D17" t="s">
        <v>2</v>
      </c>
      <c r="E17" t="s">
        <v>3</v>
      </c>
      <c r="F17" t="s">
        <v>4</v>
      </c>
      <c r="H17" t="s">
        <v>0</v>
      </c>
      <c r="I17" s="46" t="s">
        <v>1</v>
      </c>
      <c r="J17" t="s">
        <v>2</v>
      </c>
      <c r="K17" t="s">
        <v>3</v>
      </c>
      <c r="L17" t="s">
        <v>4</v>
      </c>
    </row>
    <row r="18" spans="1:12">
      <c r="A18" t="s">
        <v>168</v>
      </c>
      <c r="B18" s="47">
        <f>5/29</f>
        <v>0.17241379310344829</v>
      </c>
      <c r="C18" s="47">
        <f>6/18</f>
        <v>0.33333333333333331</v>
      </c>
      <c r="D18" s="47">
        <f>7/19</f>
        <v>0.36842105263157893</v>
      </c>
      <c r="E18" s="47">
        <f>3/8</f>
        <v>0.375</v>
      </c>
      <c r="F18" s="47">
        <f>7/11</f>
        <v>0.63636363636363635</v>
      </c>
      <c r="G18" s="47"/>
      <c r="H18" s="47">
        <f>7/34</f>
        <v>0.20588235294117646</v>
      </c>
      <c r="I18" s="48">
        <f>3/13</f>
        <v>0.23076923076923078</v>
      </c>
      <c r="J18" s="47">
        <f>5/18</f>
        <v>0.27777777777777779</v>
      </c>
      <c r="K18" s="47">
        <f>6/13</f>
        <v>0.46153846153846156</v>
      </c>
      <c r="L18" s="47">
        <f>4/6</f>
        <v>0.66666666666666663</v>
      </c>
    </row>
    <row r="19" spans="1:12">
      <c r="A19" t="s">
        <v>179</v>
      </c>
      <c r="B19" s="47">
        <f>4/31</f>
        <v>0.12903225806451613</v>
      </c>
      <c r="C19" s="47">
        <f>9/21</f>
        <v>0.42857142857142855</v>
      </c>
      <c r="D19" s="47">
        <f>4/15</f>
        <v>0.26666666666666666</v>
      </c>
      <c r="E19" s="47">
        <f>3/7</f>
        <v>0.42857142857142855</v>
      </c>
      <c r="F19" s="47">
        <f>4/8</f>
        <v>0.5</v>
      </c>
      <c r="G19" s="47"/>
      <c r="H19" s="47">
        <f>6/35</f>
        <v>0.17142857142857143</v>
      </c>
      <c r="I19" s="48">
        <f>4/20</f>
        <v>0.2</v>
      </c>
      <c r="J19" s="47">
        <f>6/21</f>
        <v>0.2857142857142857</v>
      </c>
      <c r="K19" s="47">
        <f>6/12</f>
        <v>0.5</v>
      </c>
      <c r="L19" s="47">
        <f>4/7</f>
        <v>0.5714285714285714</v>
      </c>
    </row>
    <row r="20" spans="1:12">
      <c r="A20" t="s">
        <v>190</v>
      </c>
      <c r="B20" s="47">
        <f>2/27</f>
        <v>7.407407407407407E-2</v>
      </c>
      <c r="C20" s="47">
        <f>8/22</f>
        <v>0.36363636363636365</v>
      </c>
      <c r="D20" s="47">
        <f>4/17</f>
        <v>0.23529411764705882</v>
      </c>
      <c r="E20" s="47">
        <f>4/10</f>
        <v>0.4</v>
      </c>
      <c r="F20" s="47">
        <f>3/7</f>
        <v>0.42857142857142855</v>
      </c>
      <c r="G20" s="47"/>
      <c r="H20" s="47">
        <f>5/31</f>
        <v>0.16129032258064516</v>
      </c>
      <c r="I20" s="48">
        <f>5/29</f>
        <v>0.17241379310344829</v>
      </c>
      <c r="J20" s="47">
        <f>5/20</f>
        <v>0.25</v>
      </c>
      <c r="K20" s="47">
        <f>5/11</f>
        <v>0.45454545454545453</v>
      </c>
      <c r="L20" s="47">
        <f>5/9</f>
        <v>0.55555555555555558</v>
      </c>
    </row>
    <row r="21" spans="1:12">
      <c r="A21" t="s">
        <v>199</v>
      </c>
      <c r="B21" s="47">
        <f>3/24</f>
        <v>0.125</v>
      </c>
      <c r="C21" s="47">
        <f>7/24</f>
        <v>0.29166666666666669</v>
      </c>
      <c r="D21" s="47">
        <f>2/10</f>
        <v>0.2</v>
      </c>
      <c r="E21" s="47">
        <f>5/13</f>
        <v>0.38461538461538464</v>
      </c>
      <c r="F21" s="47">
        <f>5/10</f>
        <v>0.5</v>
      </c>
      <c r="G21" s="47"/>
      <c r="H21" s="47">
        <f>3/29</f>
        <v>0.10344827586206896</v>
      </c>
      <c r="I21" s="48">
        <f>3/25</f>
        <v>0.12</v>
      </c>
      <c r="J21" s="47">
        <f>3/19</f>
        <v>0.15789473684210525</v>
      </c>
      <c r="K21" s="47">
        <f>6/15</f>
        <v>0.4</v>
      </c>
      <c r="L21" s="47">
        <f>3/7</f>
        <v>0.42857142857142855</v>
      </c>
    </row>
    <row r="22" spans="1:12">
      <c r="A22" t="s">
        <v>208</v>
      </c>
      <c r="B22" s="47">
        <f>1/18</f>
        <v>5.5555555555555552E-2</v>
      </c>
      <c r="C22" s="47">
        <f>11/28</f>
        <v>0.39285714285714285</v>
      </c>
      <c r="D22" s="47">
        <f>5/20</f>
        <v>0.25</v>
      </c>
      <c r="E22" s="47">
        <f>4/15</f>
        <v>0.26666666666666666</v>
      </c>
      <c r="F22" s="47">
        <f>5/12</f>
        <v>0.41666666666666669</v>
      </c>
      <c r="G22" s="47"/>
      <c r="H22" s="47">
        <f>4/28</f>
        <v>0.14285714285714285</v>
      </c>
      <c r="I22" s="48">
        <f>4/27</f>
        <v>0.14814814814814814</v>
      </c>
      <c r="J22" s="47">
        <f>4/15</f>
        <v>0.26666666666666666</v>
      </c>
      <c r="K22" s="47">
        <f>7/16</f>
        <v>0.4375</v>
      </c>
      <c r="L22" s="47">
        <f>7/14</f>
        <v>0.5</v>
      </c>
    </row>
    <row r="23" spans="1:12">
      <c r="A23" t="s">
        <v>216</v>
      </c>
      <c r="B23" s="47">
        <f>3/25</f>
        <v>0.12</v>
      </c>
      <c r="C23" s="47">
        <f>9/19</f>
        <v>0.47368421052631576</v>
      </c>
      <c r="D23" s="47">
        <f>5/24</f>
        <v>0.20833333333333334</v>
      </c>
      <c r="E23" s="47">
        <f>4/9</f>
        <v>0.44444444444444442</v>
      </c>
      <c r="F23">
        <f>4/10</f>
        <v>0.4</v>
      </c>
      <c r="G23" s="47"/>
      <c r="H23" s="47">
        <f>4/30</f>
        <v>0.13333333333333333</v>
      </c>
      <c r="I23" s="48">
        <f>5/26</f>
        <v>0.19230769230769232</v>
      </c>
      <c r="J23" s="47">
        <f>5/20</f>
        <v>0.25</v>
      </c>
      <c r="K23" s="47">
        <f>5/17</f>
        <v>0.29411764705882354</v>
      </c>
      <c r="L23" s="47">
        <f>3/9</f>
        <v>0.33333333333333331</v>
      </c>
    </row>
    <row r="24" spans="1:12">
      <c r="A24" t="s">
        <v>224</v>
      </c>
      <c r="B24" s="47">
        <f>4/21</f>
        <v>0.19047619047619047</v>
      </c>
      <c r="C24" s="47">
        <f>5/15</f>
        <v>0.33333333333333331</v>
      </c>
      <c r="D24" s="47">
        <f>3/20</f>
        <v>0.15</v>
      </c>
      <c r="E24" s="47">
        <f>2/7</f>
        <v>0.2857142857142857</v>
      </c>
      <c r="F24">
        <f>7/11</f>
        <v>0.63636363636363635</v>
      </c>
      <c r="G24" s="47"/>
      <c r="H24" s="47">
        <f>3/25</f>
        <v>0.12</v>
      </c>
      <c r="I24" s="48">
        <f>4/21</f>
        <v>0.19047619047619047</v>
      </c>
      <c r="J24" s="47">
        <f>6/27</f>
        <v>0.22222222222222221</v>
      </c>
      <c r="K24" s="47">
        <f>9/19</f>
        <v>0.47368421052631576</v>
      </c>
      <c r="L24" s="47">
        <f>5/8</f>
        <v>0.625</v>
      </c>
    </row>
    <row r="25" spans="1:12">
      <c r="A25" t="s">
        <v>231</v>
      </c>
      <c r="B25" s="47">
        <f>2/19</f>
        <v>0.10526315789473684</v>
      </c>
      <c r="C25" s="47">
        <f>7/28</f>
        <v>0.25</v>
      </c>
      <c r="D25" s="47">
        <f>5/18</f>
        <v>0.27777777777777779</v>
      </c>
      <c r="E25" s="47">
        <f>6/11</f>
        <v>0.54545454545454541</v>
      </c>
      <c r="F25" s="47">
        <f>5/10</f>
        <v>0.5</v>
      </c>
      <c r="G25" s="47"/>
      <c r="H25" s="47">
        <f>4/31</f>
        <v>0.12903225806451613</v>
      </c>
      <c r="I25" s="48">
        <f>5/19</f>
        <v>0.26315789473684209</v>
      </c>
      <c r="J25" s="47">
        <f>5/23</f>
        <v>0.21739130434782608</v>
      </c>
      <c r="K25" s="47">
        <f>4/14</f>
        <v>0.2857142857142857</v>
      </c>
      <c r="L25" s="47">
        <f>4/6</f>
        <v>0.66666666666666663</v>
      </c>
    </row>
    <row r="26" spans="1:12">
      <c r="A26" t="s">
        <v>238</v>
      </c>
      <c r="B26" s="47">
        <f>5/28</f>
        <v>0.17857142857142858</v>
      </c>
      <c r="C26" s="47">
        <f>6/25</f>
        <v>0.24</v>
      </c>
      <c r="D26">
        <f>7/18</f>
        <v>0.3888888888888889</v>
      </c>
      <c r="E26" s="47">
        <f>5/9</f>
        <v>0.55555555555555558</v>
      </c>
      <c r="F26" s="47">
        <f>6/13</f>
        <v>0.46153846153846156</v>
      </c>
      <c r="G26" s="47"/>
      <c r="H26" s="47">
        <f>4/26</f>
        <v>0.15384615384615385</v>
      </c>
      <c r="I26" s="48">
        <f>3/24</f>
        <v>0.125</v>
      </c>
      <c r="J26" s="47">
        <f>7/25</f>
        <v>0.28000000000000003</v>
      </c>
      <c r="K26" s="47">
        <f>5/10</f>
        <v>0.5</v>
      </c>
      <c r="L26" s="47">
        <f>3/5</f>
        <v>0.6</v>
      </c>
    </row>
    <row r="27" spans="1:12">
      <c r="A27" t="s">
        <v>245</v>
      </c>
      <c r="B27" s="47">
        <f>2/21</f>
        <v>9.5238095238095233E-2</v>
      </c>
      <c r="C27" s="47">
        <f>5/19</f>
        <v>0.26315789473684209</v>
      </c>
      <c r="D27" s="47">
        <f>3/22</f>
        <v>0.13636363636363635</v>
      </c>
      <c r="E27" s="47">
        <f>3/12</f>
        <v>0.25</v>
      </c>
      <c r="F27" s="47">
        <f>5/9</f>
        <v>0.55555555555555558</v>
      </c>
      <c r="G27" s="47"/>
      <c r="H27" s="47">
        <f>3/24</f>
        <v>0.125</v>
      </c>
      <c r="I27" s="48">
        <f>5/18</f>
        <v>0.27777777777777779</v>
      </c>
      <c r="J27" s="47">
        <f>4/17</f>
        <v>0.23529411764705882</v>
      </c>
      <c r="K27" s="47">
        <f>3/7</f>
        <v>0.42857142857142855</v>
      </c>
      <c r="L27" s="47">
        <f>2/7</f>
        <v>0.2857142857142857</v>
      </c>
    </row>
    <row r="29" spans="1:12">
      <c r="A29" t="s">
        <v>135</v>
      </c>
    </row>
    <row r="30" spans="1:12">
      <c r="A30" t="s">
        <v>286</v>
      </c>
      <c r="B30">
        <v>6.8780002020963607E-7</v>
      </c>
    </row>
    <row r="31" spans="1:12">
      <c r="A31" t="s">
        <v>287</v>
      </c>
      <c r="B31">
        <v>6.0085897290161681E-4</v>
      </c>
    </row>
    <row r="32" spans="1:12">
      <c r="A32" t="s">
        <v>288</v>
      </c>
      <c r="B32">
        <v>7.7848413778518725E-7</v>
      </c>
    </row>
    <row r="33" spans="1:2">
      <c r="A33" t="s">
        <v>289</v>
      </c>
      <c r="B33">
        <v>2.3872823936974093E-10</v>
      </c>
    </row>
    <row r="35" spans="1:2">
      <c r="A35" t="s">
        <v>290</v>
      </c>
      <c r="B35">
        <f>_xlfn.T.TEST(H17:H27,I18:I27,2,2)</f>
        <v>2.5092137723640832E-2</v>
      </c>
    </row>
    <row r="36" spans="1:2">
      <c r="A36" t="s">
        <v>291</v>
      </c>
      <c r="B36">
        <v>4.3203823578515608E-6</v>
      </c>
    </row>
    <row r="37" spans="1:2">
      <c r="A37" t="s">
        <v>292</v>
      </c>
      <c r="B37">
        <v>3.0648344753045599E-9</v>
      </c>
    </row>
    <row r="38" spans="1:2">
      <c r="A38" t="s">
        <v>293</v>
      </c>
      <c r="B38">
        <v>7.3133200819477769E-8</v>
      </c>
    </row>
  </sheetData>
  <pageMargins left="0.7" right="0.7" top="0.75" bottom="0.75" header="0.3" footer="0.3"/>
  <ignoredErrors>
    <ignoredError sqref="B6"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zoomScale="85" zoomScaleNormal="85" workbookViewId="0"/>
  </sheetViews>
  <sheetFormatPr defaultRowHeight="15"/>
  <cols>
    <col min="1" max="1" width="20.5703125" customWidth="1"/>
    <col min="2" max="2" width="12" bestFit="1" customWidth="1"/>
  </cols>
  <sheetData>
    <row r="1" spans="1:16" ht="15.75">
      <c r="A1" s="76" t="s">
        <v>536</v>
      </c>
    </row>
    <row r="3" spans="1:16">
      <c r="B3" t="s">
        <v>21</v>
      </c>
      <c r="C3" t="s">
        <v>22</v>
      </c>
      <c r="D3" t="s">
        <v>23</v>
      </c>
      <c r="E3" t="s">
        <v>24</v>
      </c>
      <c r="F3" t="s">
        <v>25</v>
      </c>
      <c r="G3" t="s">
        <v>26</v>
      </c>
      <c r="H3" t="s">
        <v>27</v>
      </c>
      <c r="I3" t="s">
        <v>28</v>
      </c>
      <c r="J3" t="s">
        <v>29</v>
      </c>
      <c r="K3" t="s">
        <v>30</v>
      </c>
      <c r="L3" t="s">
        <v>43</v>
      </c>
      <c r="M3" t="s">
        <v>44</v>
      </c>
      <c r="N3" t="s">
        <v>45</v>
      </c>
      <c r="O3" t="s">
        <v>46</v>
      </c>
      <c r="P3" t="s">
        <v>47</v>
      </c>
    </row>
    <row r="4" spans="1:16">
      <c r="B4" t="s">
        <v>31</v>
      </c>
      <c r="C4" t="s">
        <v>31</v>
      </c>
      <c r="D4" t="s">
        <v>31</v>
      </c>
      <c r="E4" t="s">
        <v>31</v>
      </c>
      <c r="F4" t="s">
        <v>31</v>
      </c>
      <c r="G4" t="s">
        <v>33</v>
      </c>
      <c r="H4" t="s">
        <v>33</v>
      </c>
      <c r="I4" t="s">
        <v>33</v>
      </c>
      <c r="J4" t="s">
        <v>33</v>
      </c>
      <c r="K4" t="s">
        <v>33</v>
      </c>
      <c r="L4" t="s">
        <v>32</v>
      </c>
      <c r="M4" t="s">
        <v>32</v>
      </c>
      <c r="N4" t="s">
        <v>32</v>
      </c>
      <c r="O4" t="s">
        <v>32</v>
      </c>
      <c r="P4" t="s">
        <v>32</v>
      </c>
    </row>
    <row r="5" spans="1:16">
      <c r="B5" t="s">
        <v>0</v>
      </c>
      <c r="C5" t="s">
        <v>1</v>
      </c>
      <c r="D5" t="s">
        <v>2</v>
      </c>
      <c r="E5" t="s">
        <v>3</v>
      </c>
      <c r="F5" t="s">
        <v>4</v>
      </c>
      <c r="G5" t="s">
        <v>0</v>
      </c>
      <c r="H5" t="s">
        <v>1</v>
      </c>
      <c r="I5" t="s">
        <v>2</v>
      </c>
      <c r="J5" t="s">
        <v>3</v>
      </c>
      <c r="K5" t="s">
        <v>4</v>
      </c>
      <c r="L5" t="s">
        <v>0</v>
      </c>
      <c r="M5" t="s">
        <v>1</v>
      </c>
      <c r="N5" t="s">
        <v>2</v>
      </c>
      <c r="O5" t="s">
        <v>3</v>
      </c>
      <c r="P5" t="s">
        <v>4</v>
      </c>
    </row>
    <row r="6" spans="1:16">
      <c r="A6" t="s">
        <v>5</v>
      </c>
      <c r="B6" s="2">
        <v>0.97599999999999998</v>
      </c>
      <c r="C6" s="2">
        <v>0.748</v>
      </c>
      <c r="D6" s="2">
        <v>0.67200000000000004</v>
      </c>
      <c r="E6" s="2">
        <v>0.32400000000000001</v>
      </c>
      <c r="F6" s="2">
        <v>0.2024</v>
      </c>
      <c r="G6" s="2">
        <v>1.07406</v>
      </c>
      <c r="H6" s="2">
        <v>1.099696</v>
      </c>
      <c r="I6" s="2">
        <v>0.84218939999999998</v>
      </c>
      <c r="J6" s="2">
        <v>0.23760000000000001</v>
      </c>
      <c r="K6" s="2">
        <v>0.12744</v>
      </c>
      <c r="L6" s="2">
        <v>1.345</v>
      </c>
      <c r="M6" s="2">
        <v>1.228</v>
      </c>
      <c r="N6" s="2">
        <v>1.0748</v>
      </c>
      <c r="O6" s="2">
        <v>0.28799999999999998</v>
      </c>
      <c r="P6" s="2">
        <v>0.151</v>
      </c>
    </row>
    <row r="7" spans="1:16">
      <c r="A7" t="s">
        <v>6</v>
      </c>
      <c r="B7" s="2">
        <v>0.97599999999999998</v>
      </c>
      <c r="C7" s="2">
        <v>0.77200000000000002</v>
      </c>
      <c r="D7" s="2">
        <v>0.504</v>
      </c>
      <c r="E7" s="2">
        <v>0.34399999999999997</v>
      </c>
      <c r="F7" s="2">
        <v>0.18479999999999999</v>
      </c>
      <c r="G7" s="2">
        <v>1.02294</v>
      </c>
      <c r="H7" s="2">
        <v>0.93409200000000003</v>
      </c>
      <c r="I7" s="2">
        <v>0.83566079999999998</v>
      </c>
      <c r="J7" s="2">
        <v>0.27216000000000001</v>
      </c>
      <c r="K7" s="2">
        <v>0.1404</v>
      </c>
      <c r="L7" s="2">
        <v>1.2849999999999999</v>
      </c>
      <c r="M7" s="2">
        <v>1.0580000000000001</v>
      </c>
      <c r="N7" s="2">
        <v>0.97440000000000004</v>
      </c>
      <c r="O7" s="2">
        <v>0.28799999999999998</v>
      </c>
      <c r="P7" s="2">
        <v>0.17399999999999999</v>
      </c>
    </row>
    <row r="8" spans="1:16">
      <c r="A8" t="s">
        <v>7</v>
      </c>
      <c r="B8" s="2">
        <v>0.97599999999999998</v>
      </c>
      <c r="C8" s="2">
        <v>0.752</v>
      </c>
      <c r="D8" s="2">
        <v>0.504</v>
      </c>
      <c r="E8" s="2">
        <v>0.36799999999999999</v>
      </c>
      <c r="F8" s="2">
        <v>0.17599999999999999</v>
      </c>
      <c r="G8" s="2">
        <v>1.0567800000000001</v>
      </c>
      <c r="H8" s="2">
        <v>1.1244879999999999</v>
      </c>
      <c r="I8" s="2">
        <v>0.81607499999999999</v>
      </c>
      <c r="J8" s="2">
        <v>0.27648</v>
      </c>
      <c r="K8" s="2">
        <v>0.15984000000000001</v>
      </c>
      <c r="L8" s="2">
        <v>1.165</v>
      </c>
      <c r="M8" s="2">
        <v>0.997</v>
      </c>
      <c r="N8" s="2">
        <v>0.84599999999999997</v>
      </c>
      <c r="O8" s="2">
        <v>0.30599999999999999</v>
      </c>
      <c r="P8" s="2">
        <v>0.153</v>
      </c>
    </row>
    <row r="9" spans="1:16">
      <c r="A9" t="s">
        <v>8</v>
      </c>
      <c r="B9" s="2">
        <v>0.96</v>
      </c>
      <c r="C9" s="2">
        <v>0.8</v>
      </c>
      <c r="D9" s="2">
        <v>0.61199999999999999</v>
      </c>
      <c r="E9" s="2">
        <v>0.38400000000000001</v>
      </c>
      <c r="F9" s="2">
        <v>0.15840000000000001</v>
      </c>
      <c r="G9" s="2">
        <v>1.16154</v>
      </c>
      <c r="H9" s="2">
        <v>0.85355400000000003</v>
      </c>
      <c r="I9" s="2">
        <v>0.98581859999999999</v>
      </c>
      <c r="J9" s="2">
        <v>0.28943999999999998</v>
      </c>
      <c r="K9" s="2">
        <v>0.15551999999999999</v>
      </c>
      <c r="L9" s="2">
        <v>1.25</v>
      </c>
      <c r="M9" s="2">
        <v>1.1779999999999999</v>
      </c>
      <c r="N9" s="2">
        <v>0.8448</v>
      </c>
      <c r="O9" s="2">
        <v>0.32400000000000001</v>
      </c>
      <c r="P9" s="2">
        <v>0.1424</v>
      </c>
    </row>
    <row r="10" spans="1:16">
      <c r="A10" t="s">
        <v>9</v>
      </c>
      <c r="B10" s="2">
        <v>1.016</v>
      </c>
      <c r="C10" s="2">
        <v>0.78200000000000003</v>
      </c>
      <c r="D10" s="2">
        <v>0.68</v>
      </c>
      <c r="E10" s="2">
        <v>0.32800000000000001</v>
      </c>
      <c r="F10" s="2">
        <v>0.18479999999999999</v>
      </c>
      <c r="G10" s="2">
        <v>1.1079000000000001</v>
      </c>
      <c r="H10" s="2">
        <v>0.95641200000000004</v>
      </c>
      <c r="I10" s="2">
        <v>0.77037480000000003</v>
      </c>
      <c r="J10" s="2">
        <v>0.31103999999999998</v>
      </c>
      <c r="K10" s="2">
        <v>0.14688000000000001</v>
      </c>
      <c r="L10" s="2">
        <v>1.145</v>
      </c>
      <c r="M10" s="2">
        <v>1.31</v>
      </c>
      <c r="N10" s="2">
        <v>0.86760000000000004</v>
      </c>
      <c r="O10" s="2">
        <v>0.33300000000000002</v>
      </c>
      <c r="P10" s="2">
        <v>0.16139999999999999</v>
      </c>
    </row>
    <row r="11" spans="1:16">
      <c r="A11" t="s">
        <v>10</v>
      </c>
      <c r="B11" s="2">
        <v>1.032</v>
      </c>
      <c r="C11" s="2">
        <v>0.70199999999999996</v>
      </c>
      <c r="D11" s="2">
        <v>0.72</v>
      </c>
      <c r="E11" s="2">
        <v>0.36</v>
      </c>
      <c r="F11" s="2">
        <v>0.19359999999999999</v>
      </c>
      <c r="G11" s="2">
        <v>1.14192</v>
      </c>
      <c r="H11" s="2">
        <v>0.96887400000000001</v>
      </c>
      <c r="I11" s="2">
        <v>0.88788959999999995</v>
      </c>
      <c r="J11" s="2">
        <v>0.34992000000000001</v>
      </c>
      <c r="K11" s="2">
        <v>0.14688000000000001</v>
      </c>
      <c r="L11" s="2">
        <v>1.345</v>
      </c>
      <c r="M11" s="2">
        <v>1.2</v>
      </c>
      <c r="N11" s="2">
        <v>0.93120000000000003</v>
      </c>
      <c r="O11" s="2">
        <v>0.20699999999999999</v>
      </c>
      <c r="P11" s="2">
        <v>0.1234</v>
      </c>
    </row>
    <row r="12" spans="1:16">
      <c r="A12" t="s">
        <v>11</v>
      </c>
      <c r="B12" s="2">
        <v>0.96</v>
      </c>
      <c r="C12" s="2">
        <v>0.69599999999999995</v>
      </c>
      <c r="D12" s="2">
        <v>0.68400000000000005</v>
      </c>
      <c r="E12" s="2">
        <v>0.47199999999999998</v>
      </c>
      <c r="F12" s="2">
        <v>0.15840000000000001</v>
      </c>
      <c r="G12" s="2">
        <v>1.1574</v>
      </c>
      <c r="H12" s="2">
        <v>0.97092000000000001</v>
      </c>
      <c r="I12" s="2">
        <v>0.77134199999999997</v>
      </c>
      <c r="J12" s="2">
        <v>0.26719999999999999</v>
      </c>
      <c r="K12" s="2">
        <v>0.12640000000000001</v>
      </c>
      <c r="L12" s="2">
        <v>1.2969999999999999</v>
      </c>
      <c r="M12" s="2">
        <v>1.1120000000000001</v>
      </c>
      <c r="N12" s="2">
        <v>0.81767999999999996</v>
      </c>
      <c r="O12" s="2">
        <v>0.2142</v>
      </c>
      <c r="P12" s="2">
        <v>0.14413999999999999</v>
      </c>
    </row>
    <row r="13" spans="1:16">
      <c r="B13" s="3"/>
      <c r="C13" s="3"/>
      <c r="D13" s="3"/>
      <c r="E13" s="3"/>
      <c r="F13" s="3"/>
      <c r="G13" s="3"/>
      <c r="H13" s="3"/>
      <c r="I13" s="3"/>
      <c r="J13" s="3"/>
      <c r="K13" s="3"/>
      <c r="L13" s="3"/>
      <c r="M13" s="3"/>
      <c r="N13" s="3"/>
      <c r="O13" s="3"/>
      <c r="P13" s="3"/>
    </row>
    <row r="17" spans="1:15">
      <c r="A17" t="s">
        <v>20</v>
      </c>
    </row>
    <row r="18" spans="1:15">
      <c r="A18" t="s">
        <v>34</v>
      </c>
      <c r="B18" s="5">
        <f>_xlfn.T.TEST(B6:B12,C6:C12,2,2)</f>
        <v>2.1318790050624985E-8</v>
      </c>
    </row>
    <row r="19" spans="1:15">
      <c r="A19" t="s">
        <v>35</v>
      </c>
      <c r="B19">
        <f>_xlfn.T.TEST(B6:B12,D6:D12,2,2)</f>
        <v>2.7537251926497164E-7</v>
      </c>
    </row>
    <row r="20" spans="1:15">
      <c r="A20" t="s">
        <v>36</v>
      </c>
      <c r="B20">
        <f>_xlfn.T.TEST(B6:B12,E6:E12,2,2)</f>
        <v>2.3302655642543053E-12</v>
      </c>
      <c r="C20" s="1"/>
      <c r="D20" s="1"/>
      <c r="E20" s="1"/>
      <c r="F20" s="1"/>
      <c r="G20" s="1"/>
      <c r="H20" s="1"/>
    </row>
    <row r="21" spans="1:15">
      <c r="A21" t="s">
        <v>37</v>
      </c>
      <c r="B21">
        <f>_xlfn.T.TEST(B6:B12,F6:F12,2,2)</f>
        <v>1.0581431211768719E-16</v>
      </c>
      <c r="C21" s="1"/>
      <c r="D21" s="1"/>
      <c r="E21" s="1"/>
      <c r="F21" s="1"/>
      <c r="G21" s="1"/>
      <c r="H21" s="1"/>
    </row>
    <row r="22" spans="1:15">
      <c r="C22" s="1"/>
      <c r="D22" s="1"/>
      <c r="E22" s="1"/>
      <c r="F22" s="1"/>
      <c r="G22" s="1"/>
      <c r="H22" s="1"/>
    </row>
    <row r="23" spans="1:15">
      <c r="A23" t="s">
        <v>42</v>
      </c>
      <c r="B23" s="5">
        <f>_xlfn.T.TEST(B6:B12,G6:G12,2,2)</f>
        <v>2.3603231884644139E-4</v>
      </c>
      <c r="C23" s="1"/>
      <c r="D23" s="1"/>
      <c r="E23" s="1"/>
      <c r="F23" s="1"/>
      <c r="G23" s="1"/>
      <c r="H23" s="1"/>
    </row>
    <row r="24" spans="1:15">
      <c r="A24" t="s">
        <v>52</v>
      </c>
      <c r="B24" s="5">
        <f>_xlfn.T.TEST(B6:B12,L6:L12,2,2)</f>
        <v>1.7794332626063261E-6</v>
      </c>
    </row>
    <row r="26" spans="1:15">
      <c r="A26" t="s">
        <v>38</v>
      </c>
      <c r="B26" s="5">
        <f>_xlfn.T.TEST(G6:G12,H6:H12,2,2)</f>
        <v>1.5198083861816997E-2</v>
      </c>
    </row>
    <row r="27" spans="1:15">
      <c r="A27" t="s">
        <v>39</v>
      </c>
      <c r="B27">
        <f>_xlfn.T.TEST(G6:G12,I6:I12,2,2)</f>
        <v>7.8326822916767385E-6</v>
      </c>
    </row>
    <row r="28" spans="1:15">
      <c r="A28" t="s">
        <v>40</v>
      </c>
      <c r="B28">
        <f>_xlfn.T.TEST(G6:G12,J6:J12,2,2)</f>
        <v>3.2023625027512259E-13</v>
      </c>
    </row>
    <row r="29" spans="1:15">
      <c r="A29" t="s">
        <v>41</v>
      </c>
      <c r="B29">
        <f>_xlfn.T.TEST(G6:G12,K6:K12,2,2)</f>
        <v>7.3049052444615889E-15</v>
      </c>
    </row>
    <row r="31" spans="1:15">
      <c r="A31" t="s">
        <v>48</v>
      </c>
      <c r="B31" s="5">
        <f>_xlfn.T.TEST(L6:L12,M6:M12,2,2)</f>
        <v>5.5449184531863954E-2</v>
      </c>
      <c r="F31" s="1"/>
      <c r="G31" s="1"/>
      <c r="H31" s="1"/>
      <c r="I31" s="1"/>
      <c r="J31" s="1"/>
      <c r="K31" s="1"/>
      <c r="L31" s="1"/>
      <c r="M31" s="1"/>
      <c r="N31" s="1"/>
      <c r="O31" s="1"/>
    </row>
    <row r="32" spans="1:15">
      <c r="A32" t="s">
        <v>49</v>
      </c>
      <c r="B32">
        <f>_xlfn.T.TEST(L6:L12,N6:N12,2,2)</f>
        <v>5.7334113351751039E-6</v>
      </c>
      <c r="F32" s="1"/>
      <c r="G32" s="1"/>
      <c r="H32" s="1"/>
      <c r="I32" s="1"/>
      <c r="J32" s="1"/>
      <c r="K32" s="1"/>
      <c r="L32" s="1"/>
      <c r="M32" s="1"/>
      <c r="N32" s="1"/>
      <c r="O32" s="1"/>
    </row>
    <row r="33" spans="1:15">
      <c r="A33" t="s">
        <v>50</v>
      </c>
      <c r="B33">
        <f>_xlfn.T.TEST(L6:L12,O6:O12,2,2)</f>
        <v>3.4694660583085663E-12</v>
      </c>
      <c r="F33" s="1"/>
      <c r="G33" s="1"/>
      <c r="H33" s="1"/>
      <c r="I33" s="1"/>
      <c r="J33" s="1"/>
      <c r="K33" s="1"/>
      <c r="L33" s="1"/>
      <c r="M33" s="1"/>
      <c r="N33" s="1"/>
      <c r="O33" s="1"/>
    </row>
    <row r="34" spans="1:15">
      <c r="A34" t="s">
        <v>51</v>
      </c>
      <c r="B34" s="5">
        <f>_xlfn.T.TEST(L6:L12,P6:P12,2,2)</f>
        <v>1.3971158285443678E-13</v>
      </c>
      <c r="F34" s="1"/>
      <c r="G34" s="1"/>
      <c r="H34" s="1"/>
      <c r="I34" s="1"/>
      <c r="J34" s="1"/>
      <c r="K34" s="1"/>
      <c r="L34" s="1"/>
      <c r="M34" s="1"/>
      <c r="N34" s="1"/>
      <c r="O34" s="1"/>
    </row>
    <row r="35" spans="1:15">
      <c r="F35" s="1"/>
      <c r="G35" s="1"/>
      <c r="H35" s="1"/>
      <c r="I35" s="1"/>
      <c r="J35" s="1"/>
      <c r="K35" s="1"/>
      <c r="L35" s="1"/>
      <c r="M35" s="1"/>
      <c r="N35" s="1"/>
      <c r="O35" s="1"/>
    </row>
    <row r="36" spans="1:15">
      <c r="A36" t="s">
        <v>365</v>
      </c>
      <c r="B36" s="5">
        <f>_xlfn.T.TEST(E6:E12,F6:F12,2,2)</f>
        <v>6.9241858466769394E-7</v>
      </c>
      <c r="F36" s="1"/>
      <c r="G36" s="1"/>
      <c r="H36" s="1"/>
      <c r="I36" s="1"/>
      <c r="J36" s="1"/>
      <c r="K36" s="1"/>
      <c r="L36" s="1"/>
      <c r="M36" s="1"/>
      <c r="N36" s="1"/>
      <c r="O36" s="1"/>
    </row>
    <row r="37" spans="1:15">
      <c r="A37" t="s">
        <v>366</v>
      </c>
      <c r="B37" s="5">
        <f>_xlfn.T.TEST(J6:J12,K6:K12,2,2)</f>
        <v>3.8523480816473275E-7</v>
      </c>
      <c r="F37" s="1"/>
      <c r="G37" s="1"/>
      <c r="H37" s="1"/>
      <c r="I37" s="1"/>
      <c r="J37" s="1"/>
      <c r="K37" s="1"/>
      <c r="L37" s="1"/>
      <c r="M37" s="1"/>
      <c r="N37" s="1"/>
      <c r="O37" s="1"/>
    </row>
    <row r="38" spans="1:15">
      <c r="A38" t="s">
        <v>367</v>
      </c>
      <c r="B38" s="5">
        <f>_xlfn.T.TEST(O6:O12,P6:P12,2,2)</f>
        <v>2.8472798494077717E-5</v>
      </c>
      <c r="F38" s="1"/>
      <c r="G38" s="1"/>
      <c r="H38" s="1"/>
      <c r="I38" s="1"/>
      <c r="J38" s="1"/>
      <c r="K38" s="1"/>
      <c r="L38" s="1"/>
      <c r="M38" s="1"/>
      <c r="N38" s="1"/>
      <c r="O38" s="1"/>
    </row>
    <row r="39" spans="1:15">
      <c r="F39" s="1"/>
      <c r="G39" s="1"/>
      <c r="H39" s="1"/>
      <c r="I39" s="1"/>
      <c r="J39" s="1"/>
      <c r="K39" s="1"/>
      <c r="L39" s="1"/>
      <c r="M39" s="1"/>
      <c r="N39" s="1"/>
      <c r="O39" s="1"/>
    </row>
    <row r="40" spans="1:15">
      <c r="F40" s="1"/>
      <c r="G40" s="1"/>
      <c r="H40" s="1"/>
      <c r="I40" s="1"/>
      <c r="J40" s="1"/>
      <c r="K40" s="1"/>
      <c r="L40" s="1"/>
      <c r="M40" s="1"/>
      <c r="N40" s="1"/>
      <c r="O40" s="1"/>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zoomScale="85" zoomScaleNormal="85" workbookViewId="0"/>
  </sheetViews>
  <sheetFormatPr defaultRowHeight="15"/>
  <cols>
    <col min="1" max="1" width="10.5703125" customWidth="1"/>
    <col min="2" max="2" width="15.42578125" customWidth="1"/>
  </cols>
  <sheetData>
    <row r="1" spans="1:16" ht="15.75">
      <c r="A1" s="76" t="s">
        <v>537</v>
      </c>
    </row>
    <row r="3" spans="1:16">
      <c r="F3" t="s">
        <v>31</v>
      </c>
      <c r="K3" t="s">
        <v>33</v>
      </c>
      <c r="P3" t="s">
        <v>32</v>
      </c>
    </row>
    <row r="4" spans="1:16">
      <c r="C4" t="s">
        <v>503</v>
      </c>
      <c r="D4" t="s">
        <v>505</v>
      </c>
      <c r="E4" t="s">
        <v>100</v>
      </c>
      <c r="F4" s="68" t="s">
        <v>504</v>
      </c>
      <c r="H4" t="s">
        <v>503</v>
      </c>
      <c r="I4" t="s">
        <v>505</v>
      </c>
      <c r="J4" t="s">
        <v>100</v>
      </c>
      <c r="K4" s="68" t="s">
        <v>504</v>
      </c>
      <c r="M4" t="s">
        <v>503</v>
      </c>
      <c r="N4" t="s">
        <v>505</v>
      </c>
      <c r="O4" t="s">
        <v>100</v>
      </c>
      <c r="P4" s="68" t="s">
        <v>504</v>
      </c>
    </row>
    <row r="5" spans="1:16">
      <c r="A5" t="s">
        <v>111</v>
      </c>
      <c r="B5" t="s">
        <v>112</v>
      </c>
      <c r="C5">
        <v>121</v>
      </c>
      <c r="D5">
        <v>0.48399999999999999</v>
      </c>
      <c r="H5">
        <v>141</v>
      </c>
      <c r="I5">
        <v>0.56399999999999995</v>
      </c>
      <c r="M5">
        <v>136</v>
      </c>
      <c r="N5">
        <v>0.54400000000000004</v>
      </c>
    </row>
    <row r="6" spans="1:16">
      <c r="C6">
        <v>148</v>
      </c>
      <c r="D6">
        <v>0.59199999999999997</v>
      </c>
      <c r="H6">
        <v>138</v>
      </c>
      <c r="I6">
        <v>0.55200000000000005</v>
      </c>
      <c r="M6">
        <v>156</v>
      </c>
      <c r="N6">
        <v>0.624</v>
      </c>
    </row>
    <row r="7" spans="1:16">
      <c r="C7">
        <v>111</v>
      </c>
      <c r="D7">
        <v>0.44400000000000001</v>
      </c>
      <c r="E7">
        <v>0.50666666666666671</v>
      </c>
      <c r="F7">
        <v>1</v>
      </c>
      <c r="H7">
        <v>157</v>
      </c>
      <c r="I7">
        <v>0.628</v>
      </c>
      <c r="J7">
        <v>0.58133333333333337</v>
      </c>
      <c r="K7">
        <v>1</v>
      </c>
      <c r="M7">
        <v>162</v>
      </c>
      <c r="N7">
        <v>0.64800000000000002</v>
      </c>
      <c r="O7">
        <v>0.60533333333333339</v>
      </c>
      <c r="P7">
        <v>1</v>
      </c>
    </row>
    <row r="9" spans="1:16">
      <c r="A9" t="s">
        <v>113</v>
      </c>
      <c r="B9" t="s">
        <v>112</v>
      </c>
      <c r="C9">
        <v>116</v>
      </c>
      <c r="D9">
        <v>0.46400000000000002</v>
      </c>
      <c r="H9">
        <v>142</v>
      </c>
      <c r="I9">
        <v>0.56799999999999995</v>
      </c>
      <c r="M9">
        <v>118</v>
      </c>
      <c r="N9">
        <v>0.47199999999999998</v>
      </c>
    </row>
    <row r="10" spans="1:16">
      <c r="C10">
        <v>128</v>
      </c>
      <c r="D10">
        <v>0.51200000000000001</v>
      </c>
      <c r="H10">
        <v>137</v>
      </c>
      <c r="I10">
        <v>0.54800000000000004</v>
      </c>
      <c r="M10">
        <v>137</v>
      </c>
      <c r="N10">
        <v>0.54800000000000004</v>
      </c>
    </row>
    <row r="11" spans="1:16">
      <c r="C11">
        <v>122</v>
      </c>
      <c r="D11">
        <v>0.48799999999999999</v>
      </c>
      <c r="E11">
        <v>0.48799999999999999</v>
      </c>
      <c r="F11">
        <v>0.96315789473684199</v>
      </c>
      <c r="H11">
        <v>121</v>
      </c>
      <c r="I11">
        <v>0.48399999999999999</v>
      </c>
      <c r="J11">
        <v>0.53333333333333333</v>
      </c>
      <c r="K11">
        <v>0.9174311926605504</v>
      </c>
      <c r="M11">
        <v>134</v>
      </c>
      <c r="N11">
        <v>0.53600000000000003</v>
      </c>
      <c r="O11">
        <v>0.51866666666666672</v>
      </c>
      <c r="P11">
        <v>0.85682819383259912</v>
      </c>
    </row>
    <row r="13" spans="1:16">
      <c r="A13" t="s">
        <v>114</v>
      </c>
      <c r="B13" t="s">
        <v>112</v>
      </c>
      <c r="C13">
        <v>108</v>
      </c>
      <c r="D13">
        <v>0.432</v>
      </c>
      <c r="H13">
        <v>99</v>
      </c>
      <c r="I13">
        <v>0.39600000000000002</v>
      </c>
      <c r="M13">
        <v>104</v>
      </c>
      <c r="N13">
        <v>0.41599999999999998</v>
      </c>
    </row>
    <row r="14" spans="1:16">
      <c r="C14">
        <v>99</v>
      </c>
      <c r="D14">
        <v>0.39600000000000002</v>
      </c>
      <c r="H14">
        <v>112</v>
      </c>
      <c r="I14">
        <v>0.44800000000000001</v>
      </c>
      <c r="M14">
        <v>92</v>
      </c>
      <c r="N14">
        <v>0.36799999999999999</v>
      </c>
    </row>
    <row r="15" spans="1:16">
      <c r="C15">
        <v>122</v>
      </c>
      <c r="D15">
        <v>0.48799999999999999</v>
      </c>
      <c r="E15">
        <v>0.4386666666666667</v>
      </c>
      <c r="F15">
        <v>0.89890710382513672</v>
      </c>
      <c r="H15">
        <v>121</v>
      </c>
      <c r="I15">
        <v>0.48399999999999999</v>
      </c>
      <c r="J15">
        <v>0.44266666666666671</v>
      </c>
      <c r="K15">
        <v>0.83000000000000007</v>
      </c>
      <c r="M15">
        <v>97</v>
      </c>
      <c r="N15">
        <v>0.38800000000000001</v>
      </c>
      <c r="O15">
        <v>0.39066666666666672</v>
      </c>
      <c r="P15">
        <v>0.7532133676092545</v>
      </c>
    </row>
    <row r="17" spans="1:16">
      <c r="A17" t="s">
        <v>115</v>
      </c>
      <c r="B17" t="s">
        <v>112</v>
      </c>
      <c r="C17">
        <v>92</v>
      </c>
      <c r="D17">
        <v>0.36799999999999999</v>
      </c>
      <c r="H17">
        <v>87</v>
      </c>
      <c r="I17">
        <v>0.34799999999999998</v>
      </c>
      <c r="M17">
        <v>63</v>
      </c>
      <c r="N17">
        <v>0.252</v>
      </c>
    </row>
    <row r="18" spans="1:16">
      <c r="C18">
        <v>87</v>
      </c>
      <c r="D18">
        <v>0.34799999999999998</v>
      </c>
      <c r="H18">
        <v>69</v>
      </c>
      <c r="I18">
        <v>0.27600000000000002</v>
      </c>
      <c r="M18">
        <v>75</v>
      </c>
      <c r="N18">
        <v>0.3</v>
      </c>
    </row>
    <row r="19" spans="1:16">
      <c r="C19">
        <v>96</v>
      </c>
      <c r="D19">
        <v>0.38400000000000001</v>
      </c>
      <c r="E19">
        <v>0.3666666666666667</v>
      </c>
      <c r="F19">
        <v>0.72368421052631582</v>
      </c>
      <c r="H19">
        <v>94</v>
      </c>
      <c r="I19">
        <v>0.376</v>
      </c>
      <c r="J19">
        <v>0.33333333333333331</v>
      </c>
      <c r="K19">
        <v>0.57339449541284393</v>
      </c>
      <c r="M19">
        <v>71</v>
      </c>
      <c r="N19">
        <v>0.28399999999999997</v>
      </c>
      <c r="O19">
        <v>0.27866666666666667</v>
      </c>
      <c r="P19">
        <v>0.46035242290748896</v>
      </c>
    </row>
    <row r="21" spans="1:16">
      <c r="A21" t="s">
        <v>116</v>
      </c>
      <c r="B21" t="s">
        <v>117</v>
      </c>
      <c r="C21">
        <v>119</v>
      </c>
      <c r="D21">
        <v>0.23799999999999999</v>
      </c>
      <c r="H21">
        <v>109</v>
      </c>
      <c r="I21">
        <v>0.218</v>
      </c>
      <c r="M21">
        <v>81</v>
      </c>
      <c r="N21">
        <v>0.16200000000000001</v>
      </c>
    </row>
    <row r="22" spans="1:16">
      <c r="C22">
        <v>136</v>
      </c>
      <c r="D22">
        <v>0.27200000000000002</v>
      </c>
      <c r="H22">
        <v>112</v>
      </c>
      <c r="I22">
        <v>0.224</v>
      </c>
      <c r="M22">
        <v>78</v>
      </c>
      <c r="N22">
        <v>0.156</v>
      </c>
    </row>
    <row r="23" spans="1:16">
      <c r="C23">
        <v>121</v>
      </c>
      <c r="D23">
        <v>0.24199999999999999</v>
      </c>
      <c r="E23">
        <v>0.25066666666666665</v>
      </c>
      <c r="F23">
        <v>0.49473684210526309</v>
      </c>
      <c r="H23">
        <v>91</v>
      </c>
      <c r="I23">
        <v>0.182</v>
      </c>
      <c r="J23">
        <v>0.20799999999999999</v>
      </c>
      <c r="K23">
        <v>0.35779816513761464</v>
      </c>
      <c r="M23">
        <v>84</v>
      </c>
      <c r="N23">
        <v>0.16800000000000001</v>
      </c>
      <c r="O23">
        <v>0.16200000000000001</v>
      </c>
      <c r="P23">
        <v>0.26762114537444931</v>
      </c>
    </row>
    <row r="25" spans="1:16">
      <c r="A25" t="s">
        <v>118</v>
      </c>
      <c r="B25" t="s">
        <v>117</v>
      </c>
      <c r="C25">
        <v>84</v>
      </c>
      <c r="D25">
        <v>0.16800000000000001</v>
      </c>
      <c r="H25">
        <v>70</v>
      </c>
      <c r="I25">
        <v>0.14000000000000001</v>
      </c>
      <c r="M25">
        <v>52</v>
      </c>
      <c r="N25">
        <v>0.104</v>
      </c>
    </row>
    <row r="26" spans="1:16">
      <c r="C26">
        <v>80</v>
      </c>
      <c r="D26">
        <v>0.16</v>
      </c>
      <c r="H26">
        <v>88</v>
      </c>
      <c r="I26">
        <v>0.17599999999999999</v>
      </c>
      <c r="M26">
        <v>64</v>
      </c>
      <c r="N26">
        <v>0.128</v>
      </c>
    </row>
    <row r="27" spans="1:16">
      <c r="C27">
        <v>77</v>
      </c>
      <c r="D27">
        <v>0.154</v>
      </c>
      <c r="E27">
        <v>0.16066666666666665</v>
      </c>
      <c r="F27">
        <v>0.31710526315789467</v>
      </c>
      <c r="H27">
        <v>62</v>
      </c>
      <c r="I27">
        <v>0.124</v>
      </c>
      <c r="J27">
        <v>0.14666666666666667</v>
      </c>
      <c r="K27">
        <v>0.25229357798165136</v>
      </c>
      <c r="M27">
        <v>55</v>
      </c>
      <c r="N27">
        <v>0.11</v>
      </c>
      <c r="O27">
        <v>0.11399999999999999</v>
      </c>
      <c r="P27">
        <v>0.18832599118942728</v>
      </c>
    </row>
    <row r="29" spans="1:16">
      <c r="A29" t="s">
        <v>119</v>
      </c>
      <c r="B29" t="s">
        <v>120</v>
      </c>
      <c r="C29">
        <v>66</v>
      </c>
      <c r="D29">
        <v>6.6000000000000003E-2</v>
      </c>
      <c r="H29">
        <v>32</v>
      </c>
      <c r="I29">
        <v>3.2000000000000001E-2</v>
      </c>
      <c r="M29">
        <v>44</v>
      </c>
      <c r="N29">
        <v>4.3999999999999997E-2</v>
      </c>
    </row>
    <row r="30" spans="1:16">
      <c r="C30">
        <v>57</v>
      </c>
      <c r="D30">
        <v>5.7000000000000002E-2</v>
      </c>
      <c r="H30">
        <v>46</v>
      </c>
      <c r="I30">
        <v>4.5999999999999999E-2</v>
      </c>
      <c r="M30">
        <v>39</v>
      </c>
      <c r="N30">
        <v>3.9E-2</v>
      </c>
    </row>
    <row r="31" spans="1:16">
      <c r="C31">
        <v>44</v>
      </c>
      <c r="D31">
        <v>4.3999999999999997E-2</v>
      </c>
      <c r="E31">
        <v>5.5666666666666663E-2</v>
      </c>
      <c r="F31">
        <v>0.10986842105263156</v>
      </c>
      <c r="H31">
        <v>53</v>
      </c>
      <c r="I31">
        <v>5.2999999999999999E-2</v>
      </c>
      <c r="J31">
        <v>4.3666666666666666E-2</v>
      </c>
      <c r="K31">
        <v>7.5114678899082563E-2</v>
      </c>
      <c r="M31">
        <v>34</v>
      </c>
      <c r="N31">
        <v>3.4000000000000002E-2</v>
      </c>
      <c r="O31">
        <v>3.9E-2</v>
      </c>
      <c r="P31">
        <v>6.4427312775330384E-2</v>
      </c>
    </row>
    <row r="33" spans="1:16">
      <c r="A33" t="s">
        <v>121</v>
      </c>
      <c r="B33" t="s">
        <v>122</v>
      </c>
      <c r="C33">
        <v>7</v>
      </c>
      <c r="D33">
        <v>7.0000000000000001E-3</v>
      </c>
      <c r="H33">
        <v>17</v>
      </c>
      <c r="I33">
        <v>1.7000000000000001E-2</v>
      </c>
      <c r="M33">
        <v>9</v>
      </c>
      <c r="N33">
        <v>8.9999999999999993E-3</v>
      </c>
    </row>
    <row r="34" spans="1:16">
      <c r="C34">
        <v>15</v>
      </c>
      <c r="D34">
        <v>1.4999999999999999E-2</v>
      </c>
      <c r="H34">
        <v>12</v>
      </c>
      <c r="I34">
        <v>1.2E-2</v>
      </c>
      <c r="M34">
        <v>8</v>
      </c>
      <c r="N34">
        <v>8.0000000000000002E-3</v>
      </c>
    </row>
    <row r="35" spans="1:16">
      <c r="C35">
        <v>21</v>
      </c>
      <c r="D35">
        <v>2.1000000000000001E-2</v>
      </c>
      <c r="E35">
        <v>1.4333333333333332E-2</v>
      </c>
      <c r="F35">
        <v>2.8289473684210521E-2</v>
      </c>
      <c r="H35">
        <v>10</v>
      </c>
      <c r="I35">
        <v>0.01</v>
      </c>
      <c r="J35">
        <v>1.2999999999999999E-2</v>
      </c>
      <c r="K35">
        <v>2.2362385321100915E-2</v>
      </c>
      <c r="M35">
        <v>19</v>
      </c>
      <c r="N35">
        <v>1.9E-2</v>
      </c>
      <c r="O35">
        <v>1.2000000000000002E-2</v>
      </c>
      <c r="P35">
        <v>1.9823788546255508E-2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heetViews>
  <sheetFormatPr defaultRowHeight="15"/>
  <cols>
    <col min="1" max="1" width="34.5703125" customWidth="1"/>
    <col min="2" max="2" width="12" bestFit="1" customWidth="1"/>
  </cols>
  <sheetData>
    <row r="1" spans="1:7" ht="15.75">
      <c r="A1" s="76" t="s">
        <v>538</v>
      </c>
    </row>
    <row r="3" spans="1:7">
      <c r="B3" t="s">
        <v>31</v>
      </c>
      <c r="C3" t="s">
        <v>31</v>
      </c>
      <c r="D3" t="s">
        <v>33</v>
      </c>
      <c r="E3" t="s">
        <v>33</v>
      </c>
      <c r="F3" t="s">
        <v>32</v>
      </c>
      <c r="G3" t="s">
        <v>32</v>
      </c>
    </row>
    <row r="4" spans="1:7">
      <c r="B4" t="s">
        <v>0</v>
      </c>
      <c r="C4" t="s">
        <v>4</v>
      </c>
      <c r="D4" t="s">
        <v>0</v>
      </c>
      <c r="E4" t="s">
        <v>4</v>
      </c>
      <c r="F4" t="s">
        <v>0</v>
      </c>
      <c r="G4" t="s">
        <v>4</v>
      </c>
    </row>
    <row r="5" spans="1:7">
      <c r="A5" t="s">
        <v>506</v>
      </c>
      <c r="B5" s="1">
        <v>138</v>
      </c>
      <c r="C5" s="1">
        <v>82</v>
      </c>
      <c r="D5" s="1">
        <v>138</v>
      </c>
      <c r="E5" s="1">
        <v>63</v>
      </c>
      <c r="F5" s="1">
        <v>171</v>
      </c>
      <c r="G5" s="1">
        <v>47</v>
      </c>
    </row>
    <row r="6" spans="1:7">
      <c r="A6" t="s">
        <v>507</v>
      </c>
      <c r="B6" s="1">
        <v>136</v>
      </c>
      <c r="C6" s="1">
        <v>67</v>
      </c>
      <c r="D6" s="1">
        <v>156</v>
      </c>
      <c r="E6" s="1">
        <v>48</v>
      </c>
      <c r="F6" s="1">
        <v>138</v>
      </c>
      <c r="G6" s="1">
        <v>64</v>
      </c>
    </row>
    <row r="7" spans="1:7">
      <c r="A7" t="s">
        <v>508</v>
      </c>
      <c r="B7" s="1">
        <v>144</v>
      </c>
      <c r="C7" s="1">
        <v>76</v>
      </c>
      <c r="D7" s="1">
        <v>162</v>
      </c>
      <c r="E7" s="1">
        <v>71</v>
      </c>
      <c r="F7" s="1">
        <v>167</v>
      </c>
      <c r="G7" s="1">
        <v>40</v>
      </c>
    </row>
    <row r="8" spans="1:7">
      <c r="A8" t="s">
        <v>509</v>
      </c>
      <c r="B8" s="1">
        <v>126</v>
      </c>
      <c r="C8" s="1">
        <v>57</v>
      </c>
      <c r="D8" s="1">
        <v>175</v>
      </c>
      <c r="E8" s="1">
        <v>43</v>
      </c>
      <c r="F8" s="1">
        <v>184</v>
      </c>
      <c r="G8" s="1">
        <v>54</v>
      </c>
    </row>
    <row r="11" spans="1:7">
      <c r="A11" t="s">
        <v>20</v>
      </c>
      <c r="B11" s="46"/>
    </row>
    <row r="12" spans="1:7">
      <c r="A12" t="s">
        <v>368</v>
      </c>
      <c r="B12" s="46">
        <f>_xlfn.T.TEST(B5:B8,C5:C8,2,2)</f>
        <v>6.1240359749076641E-5</v>
      </c>
    </row>
    <row r="13" spans="1:7">
      <c r="A13" t="s">
        <v>369</v>
      </c>
      <c r="B13" s="46">
        <f>_xlfn.T.TEST(D5:D8,E5:E8,2,2)</f>
        <v>5.5187203061643189E-5</v>
      </c>
      <c r="F13" s="1"/>
    </row>
    <row r="14" spans="1:7">
      <c r="A14" t="s">
        <v>370</v>
      </c>
      <c r="B14" s="46">
        <f>_xlfn.T.TEST(F5:F8,G5:G8,2,2)</f>
        <v>4.7147025120186314E-5</v>
      </c>
      <c r="C14" s="1"/>
      <c r="D14" s="1"/>
      <c r="E14" s="1"/>
      <c r="F14" s="1"/>
    </row>
    <row r="15" spans="1:7">
      <c r="B15" s="46"/>
      <c r="C15" s="1"/>
      <c r="D15" s="1"/>
      <c r="E15" s="1"/>
      <c r="F15" s="1"/>
    </row>
    <row r="16" spans="1:7">
      <c r="A16" t="s">
        <v>371</v>
      </c>
      <c r="B16" s="46">
        <f>_xlfn.T.TEST(B5:B8,D5:D8,2,2)</f>
        <v>4.3810932262233114E-2</v>
      </c>
      <c r="C16" s="1"/>
      <c r="D16" s="1"/>
      <c r="E16" s="1"/>
      <c r="F16" s="1"/>
    </row>
    <row r="17" spans="1:2">
      <c r="A17" t="s">
        <v>372</v>
      </c>
      <c r="B17" s="46">
        <f>_xlfn.T.TEST(B5:B8,F5:F8,2,2)</f>
        <v>3.1645262986035622E-2</v>
      </c>
    </row>
    <row r="18" spans="1:2">
      <c r="B18" s="46"/>
    </row>
    <row r="19" spans="1:2">
      <c r="B19" s="46"/>
    </row>
    <row r="20" spans="1:2">
      <c r="B20" s="46"/>
    </row>
    <row r="21" spans="1:2">
      <c r="B21" s="46"/>
    </row>
    <row r="22" spans="1:2">
      <c r="B22" s="46"/>
    </row>
    <row r="23" spans="1:2">
      <c r="B23" s="46"/>
    </row>
    <row r="24" spans="1:2">
      <c r="B24" s="46"/>
    </row>
    <row r="25" spans="1:2">
      <c r="B25" s="46"/>
    </row>
    <row r="26" spans="1:2">
      <c r="B26" s="46"/>
    </row>
    <row r="27" spans="1:2">
      <c r="B27" s="46"/>
    </row>
    <row r="28" spans="1:2">
      <c r="B28" s="46"/>
    </row>
    <row r="29" spans="1:2">
      <c r="B29" s="46"/>
    </row>
    <row r="30" spans="1:2">
      <c r="B30" s="46"/>
    </row>
    <row r="31" spans="1:2">
      <c r="B31" s="46"/>
    </row>
    <row r="32" spans="1:2">
      <c r="B32" s="46"/>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110"/>
  <sheetViews>
    <sheetView zoomScaleNormal="100" workbookViewId="0"/>
  </sheetViews>
  <sheetFormatPr defaultRowHeight="15"/>
  <cols>
    <col min="1" max="1" width="34.5703125" customWidth="1"/>
    <col min="2" max="2" width="12.28515625" bestFit="1" customWidth="1"/>
    <col min="9" max="9" width="18.42578125" customWidth="1"/>
  </cols>
  <sheetData>
    <row r="1" spans="1:85" ht="15.75">
      <c r="A1" s="76" t="s">
        <v>539</v>
      </c>
    </row>
    <row r="3" spans="1:85">
      <c r="M3" s="4"/>
      <c r="N3" s="4"/>
      <c r="O3" s="4"/>
      <c r="P3" s="4"/>
      <c r="W3" s="4"/>
      <c r="X3" s="4"/>
      <c r="Y3" s="4"/>
      <c r="Z3" s="4"/>
      <c r="AQ3" s="4"/>
      <c r="AR3" s="4"/>
      <c r="AS3" s="4"/>
      <c r="AT3" s="4"/>
      <c r="BU3" s="4"/>
      <c r="BV3" s="4"/>
      <c r="BW3" s="4"/>
      <c r="BX3" s="4"/>
      <c r="CE3" s="4"/>
      <c r="CF3" s="4"/>
      <c r="CG3" s="4"/>
    </row>
    <row r="4" spans="1:85">
      <c r="A4" t="s">
        <v>66</v>
      </c>
      <c r="B4" t="s">
        <v>60</v>
      </c>
      <c r="C4" t="s">
        <v>61</v>
      </c>
      <c r="D4" t="s">
        <v>62</v>
      </c>
      <c r="E4" t="s">
        <v>63</v>
      </c>
      <c r="F4" t="s">
        <v>64</v>
      </c>
      <c r="G4" t="s">
        <v>65</v>
      </c>
      <c r="M4" s="4"/>
      <c r="N4" s="4"/>
      <c r="O4" s="4"/>
      <c r="P4" s="4"/>
      <c r="W4" s="4"/>
      <c r="X4" s="4"/>
      <c r="Y4" s="4"/>
      <c r="Z4" s="4"/>
      <c r="AQ4" s="4"/>
      <c r="AR4" s="4"/>
      <c r="AS4" s="4"/>
      <c r="AT4" s="4"/>
      <c r="BU4" s="4"/>
      <c r="BV4" s="4"/>
      <c r="BW4" s="4"/>
      <c r="BX4" s="4"/>
      <c r="CE4" s="4"/>
      <c r="CF4" s="4"/>
      <c r="CG4" s="4"/>
    </row>
    <row r="5" spans="1:85">
      <c r="A5" t="s">
        <v>53</v>
      </c>
      <c r="B5" s="4">
        <v>111.6</v>
      </c>
      <c r="C5" s="4">
        <v>98.314999999999998</v>
      </c>
      <c r="D5" s="4">
        <v>109.512</v>
      </c>
      <c r="E5" s="4">
        <v>109.554</v>
      </c>
      <c r="F5" s="4">
        <v>97.92</v>
      </c>
      <c r="G5" s="4">
        <v>100</v>
      </c>
      <c r="M5" s="4"/>
      <c r="N5" s="4"/>
      <c r="O5" s="4"/>
      <c r="P5" s="4"/>
      <c r="W5" s="4"/>
      <c r="X5" s="4"/>
      <c r="Y5" s="4"/>
      <c r="Z5" s="4"/>
      <c r="AQ5" s="4"/>
      <c r="AR5" s="4"/>
      <c r="AS5" s="4"/>
      <c r="AT5" s="4"/>
      <c r="BU5" s="4"/>
      <c r="BV5" s="4"/>
      <c r="BW5" s="4"/>
      <c r="BX5" s="4"/>
      <c r="CE5" s="4"/>
      <c r="CF5" s="4"/>
      <c r="CG5" s="4"/>
    </row>
    <row r="6" spans="1:85">
      <c r="A6" t="s">
        <v>54</v>
      </c>
      <c r="B6" s="4">
        <v>142.88399999999999</v>
      </c>
      <c r="C6" s="4">
        <v>153.76</v>
      </c>
      <c r="D6" s="4">
        <v>153</v>
      </c>
      <c r="E6" s="4">
        <v>151.38</v>
      </c>
      <c r="F6" s="4">
        <v>168.33799999999999</v>
      </c>
      <c r="G6" s="4">
        <v>135.506</v>
      </c>
      <c r="M6" s="4"/>
      <c r="N6" s="4"/>
      <c r="O6" s="4"/>
      <c r="P6" s="4"/>
      <c r="W6" s="4"/>
      <c r="X6" s="4"/>
      <c r="Y6" s="4"/>
      <c r="Z6" s="4"/>
      <c r="AQ6" s="4"/>
      <c r="AR6" s="4"/>
      <c r="AS6" s="4"/>
      <c r="AT6" s="4"/>
      <c r="BU6" s="4"/>
      <c r="BV6" s="4"/>
      <c r="BW6" s="4"/>
      <c r="BX6" s="4"/>
      <c r="CE6" s="4"/>
      <c r="CF6" s="4"/>
      <c r="CG6" s="4"/>
    </row>
    <row r="7" spans="1:85">
      <c r="A7" t="s">
        <v>55</v>
      </c>
      <c r="B7" s="4">
        <v>210.7</v>
      </c>
      <c r="C7" s="4">
        <v>235.52</v>
      </c>
      <c r="D7" s="4">
        <v>207.02500000000001</v>
      </c>
      <c r="E7" s="4">
        <v>184.96</v>
      </c>
      <c r="F7" s="4">
        <v>199.63130000000001</v>
      </c>
      <c r="G7" s="4">
        <v>219.64</v>
      </c>
      <c r="M7" s="4"/>
      <c r="N7" s="4"/>
      <c r="O7" s="4"/>
      <c r="P7" s="4"/>
      <c r="W7" s="4"/>
      <c r="X7" s="4"/>
      <c r="Y7" s="4"/>
      <c r="Z7" s="4"/>
      <c r="AQ7" s="4"/>
      <c r="AR7" s="4"/>
      <c r="AS7" s="4"/>
      <c r="AT7" s="4"/>
      <c r="BU7" s="4"/>
      <c r="BV7" s="4"/>
      <c r="BW7" s="4"/>
      <c r="BX7" s="4"/>
      <c r="CE7" s="4"/>
      <c r="CF7" s="4"/>
      <c r="CG7" s="4"/>
    </row>
    <row r="8" spans="1:85">
      <c r="A8" t="s">
        <v>56</v>
      </c>
      <c r="B8" s="4">
        <v>217.155</v>
      </c>
      <c r="C8" s="4">
        <v>253.76406249999999</v>
      </c>
      <c r="D8" s="4">
        <v>335.85001799999998</v>
      </c>
      <c r="E8" s="4">
        <v>323.09899999999999</v>
      </c>
      <c r="F8" s="4">
        <v>350.24900000000002</v>
      </c>
      <c r="G8" s="4">
        <v>316.11200000000002</v>
      </c>
      <c r="M8" s="4"/>
      <c r="N8" s="4"/>
      <c r="O8" s="4"/>
      <c r="P8" s="4"/>
      <c r="W8" s="4"/>
      <c r="X8" s="4"/>
      <c r="Y8" s="4"/>
      <c r="Z8" s="4"/>
      <c r="AQ8" s="4"/>
      <c r="AR8" s="4"/>
      <c r="AS8" s="4"/>
      <c r="AT8" s="4"/>
      <c r="BU8" s="4"/>
      <c r="BV8" s="4"/>
      <c r="BW8" s="4"/>
      <c r="BX8" s="4"/>
      <c r="CE8" s="4"/>
      <c r="CF8" s="4"/>
      <c r="CG8" s="4"/>
    </row>
    <row r="9" spans="1:85">
      <c r="A9" t="s">
        <v>57</v>
      </c>
      <c r="B9" s="4">
        <v>350.49299999999999</v>
      </c>
      <c r="C9" s="4">
        <v>538.30399999999997</v>
      </c>
      <c r="D9" s="4">
        <v>344.60500000000002</v>
      </c>
      <c r="E9" s="4">
        <v>429.07799999999997</v>
      </c>
      <c r="F9" s="4">
        <v>386.54390000000001</v>
      </c>
      <c r="G9" s="4">
        <v>303.08300000000003</v>
      </c>
      <c r="M9" s="4"/>
      <c r="N9" s="4"/>
      <c r="O9" s="4"/>
      <c r="P9" s="4"/>
      <c r="W9" s="4"/>
      <c r="X9" s="4"/>
      <c r="Y9" s="4"/>
      <c r="Z9" s="4"/>
      <c r="AQ9" s="4"/>
      <c r="AR9" s="4"/>
      <c r="AS9" s="4"/>
      <c r="AT9" s="4"/>
      <c r="BU9" s="4"/>
      <c r="BV9" s="4"/>
      <c r="BW9" s="4"/>
      <c r="BX9" s="4"/>
      <c r="CE9" s="4"/>
      <c r="CF9" s="4"/>
      <c r="CG9" s="4"/>
    </row>
    <row r="10" spans="1:85">
      <c r="A10" t="s">
        <v>58</v>
      </c>
      <c r="B10" s="4">
        <v>495.68599999999998</v>
      </c>
      <c r="C10" s="4">
        <v>625.03099999999995</v>
      </c>
      <c r="D10" s="4">
        <v>714.40200000000004</v>
      </c>
      <c r="E10" s="4">
        <v>458.58699999999999</v>
      </c>
      <c r="F10" s="4">
        <v>636.16399999999999</v>
      </c>
      <c r="G10" s="4">
        <v>400.62599999999998</v>
      </c>
    </row>
    <row r="11" spans="1:85">
      <c r="A11" t="s">
        <v>59</v>
      </c>
      <c r="B11" s="4">
        <v>653.45500000000004</v>
      </c>
      <c r="C11" s="4">
        <v>722.26599999999996</v>
      </c>
      <c r="D11" s="4">
        <v>822.65599999999995</v>
      </c>
      <c r="E11" s="4">
        <v>626.077</v>
      </c>
      <c r="F11" s="4">
        <v>646.46600000000001</v>
      </c>
      <c r="G11" s="4">
        <v>594.01499999999999</v>
      </c>
    </row>
    <row r="13" spans="1:85">
      <c r="A13" t="s">
        <v>67</v>
      </c>
      <c r="B13" t="s">
        <v>60</v>
      </c>
      <c r="C13" t="s">
        <v>61</v>
      </c>
      <c r="D13" t="s">
        <v>62</v>
      </c>
      <c r="E13" t="s">
        <v>63</v>
      </c>
      <c r="F13" t="s">
        <v>64</v>
      </c>
      <c r="G13" t="s">
        <v>65</v>
      </c>
    </row>
    <row r="14" spans="1:85">
      <c r="A14" t="s">
        <v>53</v>
      </c>
      <c r="B14" s="4">
        <v>101.4</v>
      </c>
      <c r="C14" s="4">
        <v>109.652</v>
      </c>
      <c r="D14" s="4">
        <v>105</v>
      </c>
      <c r="E14" s="4">
        <v>101.4</v>
      </c>
      <c r="F14" s="4">
        <v>100.92</v>
      </c>
      <c r="G14" s="4">
        <v>92.5</v>
      </c>
    </row>
    <row r="15" spans="1:85">
      <c r="A15" t="s">
        <v>54</v>
      </c>
      <c r="B15" s="4">
        <v>132.27799999999999</v>
      </c>
      <c r="C15" s="4">
        <v>127.057</v>
      </c>
      <c r="D15" s="4">
        <v>132.61799999999999</v>
      </c>
      <c r="E15" s="4">
        <v>139.24</v>
      </c>
      <c r="F15" s="4">
        <v>137.66999999999999</v>
      </c>
      <c r="G15" s="4">
        <v>135.83199999999999</v>
      </c>
    </row>
    <row r="16" spans="1:85">
      <c r="A16" t="s">
        <v>55</v>
      </c>
      <c r="B16" s="4">
        <v>177.45</v>
      </c>
      <c r="C16" s="4">
        <v>146.85300000000001</v>
      </c>
      <c r="D16" s="4">
        <v>186.2</v>
      </c>
      <c r="E16" s="4">
        <v>168.77600000000001</v>
      </c>
      <c r="F16" s="4">
        <v>177.45</v>
      </c>
      <c r="G16" s="4">
        <v>151.83799999999999</v>
      </c>
    </row>
    <row r="17" spans="1:9">
      <c r="A17" t="s">
        <v>56</v>
      </c>
      <c r="B17" s="4">
        <v>155.75</v>
      </c>
      <c r="C17" s="4">
        <v>289.26600000000002</v>
      </c>
      <c r="D17" s="4">
        <v>182.94300000000001</v>
      </c>
      <c r="E17" s="4">
        <v>249.761</v>
      </c>
      <c r="F17" s="4">
        <v>152.523</v>
      </c>
      <c r="G17" s="4">
        <v>143.28100000000001</v>
      </c>
    </row>
    <row r="18" spans="1:9">
      <c r="A18" t="s">
        <v>57</v>
      </c>
      <c r="B18" s="4">
        <v>249.761</v>
      </c>
      <c r="C18" s="4">
        <v>358.16</v>
      </c>
      <c r="D18" s="4">
        <v>202.77799999999999</v>
      </c>
      <c r="E18" s="4">
        <v>176.411</v>
      </c>
      <c r="F18" s="4">
        <v>224.30600000000001</v>
      </c>
      <c r="G18" s="4">
        <v>210.625</v>
      </c>
    </row>
    <row r="19" spans="1:9">
      <c r="A19" t="s">
        <v>58</v>
      </c>
      <c r="B19" s="4">
        <v>335.20800000000003</v>
      </c>
      <c r="C19" s="4">
        <v>257.70800000000003</v>
      </c>
      <c r="D19" s="4">
        <v>399.44499999999999</v>
      </c>
      <c r="E19" s="4">
        <v>240.83600000000001</v>
      </c>
      <c r="F19" s="4">
        <v>239.024</v>
      </c>
      <c r="G19" s="4">
        <v>225</v>
      </c>
    </row>
    <row r="20" spans="1:9">
      <c r="A20" t="s">
        <v>59</v>
      </c>
      <c r="B20" s="4">
        <v>251.05099999999999</v>
      </c>
      <c r="C20" s="4">
        <v>276.28399999999999</v>
      </c>
      <c r="D20" s="4">
        <v>239.06299999999999</v>
      </c>
      <c r="E20" s="4">
        <v>450.464</v>
      </c>
      <c r="F20" s="4">
        <v>302.74</v>
      </c>
      <c r="G20" s="4">
        <v>379.31200000000001</v>
      </c>
    </row>
    <row r="22" spans="1:9">
      <c r="A22" t="s">
        <v>68</v>
      </c>
      <c r="B22" t="s">
        <v>60</v>
      </c>
      <c r="C22" t="s">
        <v>61</v>
      </c>
      <c r="D22" t="s">
        <v>62</v>
      </c>
      <c r="E22" t="s">
        <v>63</v>
      </c>
      <c r="F22" t="s">
        <v>64</v>
      </c>
      <c r="G22" t="s">
        <v>65</v>
      </c>
    </row>
    <row r="23" spans="1:9">
      <c r="A23" t="s">
        <v>53</v>
      </c>
      <c r="B23" s="4">
        <v>103.66200000000001</v>
      </c>
      <c r="C23" s="4">
        <v>100.05500000000001</v>
      </c>
      <c r="D23" s="4">
        <v>105.42700000000001</v>
      </c>
      <c r="E23" s="4">
        <v>153.97800000000001</v>
      </c>
      <c r="F23" s="4">
        <v>75.938000000000002</v>
      </c>
      <c r="G23" s="4">
        <v>117</v>
      </c>
    </row>
    <row r="24" spans="1:9">
      <c r="A24" t="s">
        <v>54</v>
      </c>
      <c r="B24" s="4">
        <v>112.125</v>
      </c>
      <c r="C24" s="4">
        <v>96.468999999999994</v>
      </c>
      <c r="D24" s="4">
        <v>189.57</v>
      </c>
      <c r="E24" s="4">
        <v>81</v>
      </c>
      <c r="F24" s="4">
        <v>108.16</v>
      </c>
      <c r="G24" s="4">
        <v>129.98500000000001</v>
      </c>
    </row>
    <row r="25" spans="1:9">
      <c r="A25" t="s">
        <v>55</v>
      </c>
      <c r="B25" s="4">
        <v>151.29</v>
      </c>
      <c r="C25" s="4">
        <v>179.56299999999999</v>
      </c>
      <c r="D25" s="4">
        <v>158.43799999999999</v>
      </c>
      <c r="E25" s="4">
        <v>93.75</v>
      </c>
      <c r="F25" s="4">
        <v>40</v>
      </c>
      <c r="G25" s="4">
        <v>68.75</v>
      </c>
    </row>
    <row r="26" spans="1:9">
      <c r="A26" t="s">
        <v>56</v>
      </c>
      <c r="B26" s="4">
        <v>101.236</v>
      </c>
      <c r="C26" s="4">
        <v>140.625</v>
      </c>
      <c r="D26" s="4">
        <v>149.83000000000001</v>
      </c>
      <c r="E26" s="4">
        <v>100.057</v>
      </c>
      <c r="F26" s="4">
        <v>177.625</v>
      </c>
      <c r="G26" s="4">
        <v>107.575</v>
      </c>
    </row>
    <row r="27" spans="1:9">
      <c r="A27" t="s">
        <v>57</v>
      </c>
      <c r="B27" s="4">
        <v>168.45599999999999</v>
      </c>
      <c r="C27" s="4">
        <v>115.905</v>
      </c>
      <c r="D27" s="4">
        <v>190.10400000000001</v>
      </c>
      <c r="E27" s="4">
        <v>132.3878</v>
      </c>
      <c r="F27" s="4">
        <v>129.78</v>
      </c>
      <c r="G27" s="4">
        <v>101.044</v>
      </c>
    </row>
    <row r="28" spans="1:9">
      <c r="A28" t="s">
        <v>58</v>
      </c>
      <c r="B28" s="4">
        <v>204.95400000000001</v>
      </c>
      <c r="C28" s="4">
        <v>154.893</v>
      </c>
      <c r="D28" s="4">
        <v>133.72499999999999</v>
      </c>
      <c r="E28" s="4">
        <v>112.343</v>
      </c>
      <c r="F28" s="4">
        <v>133.52600000000001</v>
      </c>
      <c r="G28" s="4">
        <v>126.142</v>
      </c>
    </row>
    <row r="29" spans="1:9">
      <c r="A29" t="s">
        <v>59</v>
      </c>
      <c r="B29" s="4">
        <v>253.125</v>
      </c>
      <c r="C29" s="4">
        <v>200.68799999999999</v>
      </c>
      <c r="D29" s="4">
        <v>179.56299999999999</v>
      </c>
      <c r="E29" s="4">
        <v>166.01599999999999</v>
      </c>
      <c r="F29" s="4">
        <v>112.98399999999999</v>
      </c>
      <c r="G29" s="4">
        <v>115.926</v>
      </c>
    </row>
    <row r="30" spans="1:9">
      <c r="H30" s="4"/>
      <c r="I30" s="4"/>
    </row>
    <row r="31" spans="1:9">
      <c r="A31" t="s">
        <v>90</v>
      </c>
      <c r="B31" t="s">
        <v>60</v>
      </c>
      <c r="C31" t="s">
        <v>61</v>
      </c>
      <c r="D31" t="s">
        <v>62</v>
      </c>
      <c r="E31" t="s">
        <v>63</v>
      </c>
      <c r="F31" t="s">
        <v>64</v>
      </c>
      <c r="G31" t="s">
        <v>65</v>
      </c>
      <c r="H31" s="4"/>
      <c r="I31" s="4"/>
    </row>
    <row r="32" spans="1:9">
      <c r="A32" t="s">
        <v>53</v>
      </c>
      <c r="B32" s="4">
        <v>83.54</v>
      </c>
      <c r="C32" s="4">
        <v>156.55799999999999</v>
      </c>
      <c r="D32" s="4">
        <v>61.011000000000003</v>
      </c>
      <c r="E32" s="4">
        <v>125.595</v>
      </c>
      <c r="F32" s="4">
        <v>130.32</v>
      </c>
      <c r="G32" s="4">
        <v>86.801000000000002</v>
      </c>
      <c r="H32" s="4"/>
      <c r="I32" s="4"/>
    </row>
    <row r="33" spans="1:9">
      <c r="A33" t="s">
        <v>54</v>
      </c>
      <c r="B33" s="4">
        <v>110.45099999999999</v>
      </c>
      <c r="C33" s="4">
        <v>233.291</v>
      </c>
      <c r="D33" s="4">
        <v>165.03899999999999</v>
      </c>
      <c r="E33" s="4">
        <v>186.38399999999999</v>
      </c>
      <c r="F33" s="4">
        <v>136.125</v>
      </c>
      <c r="G33" s="4">
        <v>185.24799999999999</v>
      </c>
      <c r="H33" s="4"/>
      <c r="I33" s="4"/>
    </row>
    <row r="34" spans="1:9">
      <c r="A34" t="s">
        <v>55</v>
      </c>
      <c r="B34" s="4">
        <v>183.55099999999999</v>
      </c>
      <c r="C34" s="4">
        <v>295.49900000000002</v>
      </c>
      <c r="D34" s="4">
        <v>157.84700000000001</v>
      </c>
      <c r="E34" s="4">
        <v>298.733</v>
      </c>
      <c r="F34" s="4">
        <v>212.727</v>
      </c>
      <c r="G34" s="4">
        <v>187.94499999999999</v>
      </c>
      <c r="H34" s="4"/>
      <c r="I34" s="4"/>
    </row>
    <row r="35" spans="1:9">
      <c r="A35" t="s">
        <v>56</v>
      </c>
      <c r="B35" s="4">
        <v>452.82400000000001</v>
      </c>
      <c r="C35" s="4">
        <v>359.85599999999999</v>
      </c>
      <c r="D35" s="4">
        <v>243.089</v>
      </c>
      <c r="E35" s="4">
        <v>380.20800000000003</v>
      </c>
      <c r="F35" s="4">
        <v>285.12</v>
      </c>
      <c r="G35" s="4">
        <v>277.44</v>
      </c>
      <c r="H35" s="4"/>
      <c r="I35" s="4"/>
    </row>
    <row r="36" spans="1:9">
      <c r="A36" t="s">
        <v>57</v>
      </c>
      <c r="B36" s="4">
        <v>620.15599999999995</v>
      </c>
      <c r="C36" s="4">
        <v>368.55</v>
      </c>
      <c r="D36" s="4">
        <v>496.375</v>
      </c>
      <c r="E36" s="4">
        <v>388.8</v>
      </c>
      <c r="F36" s="4">
        <v>634.07000000000005</v>
      </c>
      <c r="G36" s="4">
        <v>346.56</v>
      </c>
      <c r="H36" s="4"/>
      <c r="I36" s="4"/>
    </row>
    <row r="37" spans="1:9">
      <c r="A37" t="s">
        <v>58</v>
      </c>
      <c r="B37" s="4">
        <v>801.78200000000004</v>
      </c>
      <c r="C37" s="4">
        <v>643.21299999999997</v>
      </c>
      <c r="D37" s="4">
        <v>590.64599999999996</v>
      </c>
      <c r="E37" s="4">
        <v>856.32600000000002</v>
      </c>
      <c r="F37" s="4">
        <v>566.35199999999998</v>
      </c>
      <c r="G37" s="4">
        <v>562.42169999999999</v>
      </c>
    </row>
    <row r="38" spans="1:9">
      <c r="A38" t="s">
        <v>59</v>
      </c>
      <c r="B38" s="4">
        <v>853.88599999999997</v>
      </c>
      <c r="C38" s="4">
        <v>1063.692</v>
      </c>
      <c r="D38" s="4">
        <v>11232</v>
      </c>
      <c r="E38" s="4">
        <v>764.16499999999996</v>
      </c>
      <c r="F38" s="4">
        <v>788.85699999999997</v>
      </c>
      <c r="G38" s="4">
        <v>882</v>
      </c>
    </row>
    <row r="40" spans="1:9">
      <c r="A40" t="s">
        <v>91</v>
      </c>
      <c r="B40" t="s">
        <v>60</v>
      </c>
      <c r="C40" t="s">
        <v>61</v>
      </c>
      <c r="D40" t="s">
        <v>62</v>
      </c>
      <c r="E40" t="s">
        <v>63</v>
      </c>
      <c r="F40" t="s">
        <v>64</v>
      </c>
      <c r="G40" t="s">
        <v>65</v>
      </c>
    </row>
    <row r="41" spans="1:9">
      <c r="A41" t="s">
        <v>53</v>
      </c>
      <c r="B41" s="4">
        <v>91.936000000000007</v>
      </c>
      <c r="C41" s="4">
        <v>101.92</v>
      </c>
      <c r="D41" s="4">
        <v>98.843000000000004</v>
      </c>
      <c r="E41" s="4">
        <v>107.453</v>
      </c>
      <c r="F41" s="4">
        <v>102.06</v>
      </c>
      <c r="G41" s="4">
        <v>101.8677</v>
      </c>
    </row>
    <row r="42" spans="1:9">
      <c r="A42" t="s">
        <v>54</v>
      </c>
      <c r="B42" s="4">
        <v>146.85300000000001</v>
      </c>
      <c r="C42" s="4">
        <v>120.395</v>
      </c>
      <c r="D42" s="4">
        <v>167.70599999999999</v>
      </c>
      <c r="E42" s="4">
        <v>277.202</v>
      </c>
      <c r="F42" s="4">
        <v>124.93</v>
      </c>
      <c r="G42" s="4">
        <v>148.10409999999999</v>
      </c>
    </row>
    <row r="43" spans="1:9">
      <c r="A43" t="s">
        <v>55</v>
      </c>
      <c r="B43" s="4">
        <v>188.35599999999999</v>
      </c>
      <c r="C43" s="4">
        <v>333.79500000000002</v>
      </c>
      <c r="D43" s="4">
        <v>202.005</v>
      </c>
      <c r="E43" s="4">
        <v>199.761</v>
      </c>
      <c r="F43" s="4">
        <v>178.292</v>
      </c>
      <c r="G43" s="4">
        <v>174.24</v>
      </c>
    </row>
    <row r="44" spans="1:9">
      <c r="A44" t="s">
        <v>56</v>
      </c>
      <c r="B44" s="4">
        <v>221.245</v>
      </c>
      <c r="C44" s="4">
        <v>229.601</v>
      </c>
      <c r="D44" s="4">
        <v>472.733</v>
      </c>
      <c r="E44" s="4">
        <v>224.23</v>
      </c>
      <c r="F44" s="4">
        <v>315.25599999999997</v>
      </c>
      <c r="G44" s="4">
        <v>221.97200000000001</v>
      </c>
    </row>
    <row r="45" spans="1:9">
      <c r="A45" t="s">
        <v>57</v>
      </c>
      <c r="B45" s="4">
        <v>302.108</v>
      </c>
      <c r="C45" s="4">
        <v>525.77700000000004</v>
      </c>
      <c r="D45" s="4">
        <v>347.13099999999997</v>
      </c>
      <c r="E45" s="4">
        <v>450.464</v>
      </c>
      <c r="F45" s="4">
        <v>366.48099999999999</v>
      </c>
      <c r="G45" s="4">
        <v>302.48200000000003</v>
      </c>
    </row>
    <row r="46" spans="1:9">
      <c r="A46" t="s">
        <v>58</v>
      </c>
      <c r="B46" s="4">
        <v>515.46</v>
      </c>
      <c r="C46" s="4">
        <v>756.34299999999996</v>
      </c>
      <c r="D46" s="4">
        <v>442.48200000000003</v>
      </c>
      <c r="E46" s="4">
        <v>450.464</v>
      </c>
      <c r="F46" s="4">
        <v>476.875</v>
      </c>
      <c r="G46" s="4">
        <v>467.85599999999999</v>
      </c>
    </row>
    <row r="47" spans="1:9">
      <c r="A47" t="s">
        <v>59</v>
      </c>
      <c r="B47" s="4">
        <v>635.59400000000005</v>
      </c>
      <c r="C47" s="4">
        <v>642.98299999999995</v>
      </c>
      <c r="D47" s="4">
        <v>799.03</v>
      </c>
      <c r="E47" s="4">
        <v>535.81500000000005</v>
      </c>
      <c r="F47" s="4">
        <v>606.375</v>
      </c>
      <c r="G47" s="4">
        <v>523.72320000000002</v>
      </c>
    </row>
    <row r="48" spans="1:9">
      <c r="H48" s="4"/>
    </row>
    <row r="49" spans="1:9">
      <c r="A49" t="s">
        <v>92</v>
      </c>
      <c r="B49" t="s">
        <v>60</v>
      </c>
      <c r="C49" t="s">
        <v>61</v>
      </c>
      <c r="D49" t="s">
        <v>62</v>
      </c>
      <c r="E49" t="s">
        <v>63</v>
      </c>
      <c r="F49" t="s">
        <v>64</v>
      </c>
      <c r="G49" t="s">
        <v>65</v>
      </c>
      <c r="H49" s="4"/>
    </row>
    <row r="50" spans="1:9">
      <c r="A50" t="s">
        <v>53</v>
      </c>
      <c r="B50" s="4">
        <v>108</v>
      </c>
      <c r="C50" s="4">
        <v>112.68129999999999</v>
      </c>
      <c r="D50" s="4">
        <v>94.25</v>
      </c>
      <c r="E50" s="4">
        <v>104.976</v>
      </c>
      <c r="F50" s="4">
        <v>114.53489999999999</v>
      </c>
      <c r="G50" s="4">
        <v>102.999</v>
      </c>
      <c r="H50" s="4"/>
    </row>
    <row r="51" spans="1:9">
      <c r="A51" t="s">
        <v>54</v>
      </c>
      <c r="B51" s="4">
        <v>146.85300000000001</v>
      </c>
      <c r="C51" s="4">
        <v>120.395</v>
      </c>
      <c r="D51" s="4">
        <v>167.70599999999999</v>
      </c>
      <c r="E51" s="4">
        <v>120.002</v>
      </c>
      <c r="F51" s="4">
        <v>124.93</v>
      </c>
      <c r="G51" s="4">
        <v>148.10409999999999</v>
      </c>
      <c r="H51" s="4"/>
    </row>
    <row r="52" spans="1:9">
      <c r="A52" t="s">
        <v>55</v>
      </c>
      <c r="B52" s="4">
        <v>135</v>
      </c>
      <c r="C52" s="4">
        <v>171.5</v>
      </c>
      <c r="D52" s="4">
        <v>144</v>
      </c>
      <c r="E52" s="4">
        <v>130.095</v>
      </c>
      <c r="F52" s="4">
        <v>100.10809999999999</v>
      </c>
      <c r="G52" s="4">
        <v>81.25</v>
      </c>
      <c r="H52" s="4"/>
    </row>
    <row r="53" spans="1:9">
      <c r="A53" t="s">
        <v>56</v>
      </c>
      <c r="B53" s="4">
        <v>214.899</v>
      </c>
      <c r="C53" s="4">
        <v>92.375</v>
      </c>
      <c r="D53" s="4">
        <v>98.637</v>
      </c>
      <c r="E53" s="4">
        <v>104.818</v>
      </c>
      <c r="F53" s="4">
        <v>128.79300000000001</v>
      </c>
      <c r="G53" s="4">
        <v>146.04900000000001</v>
      </c>
      <c r="H53" s="4"/>
    </row>
    <row r="54" spans="1:9">
      <c r="A54" t="s">
        <v>57</v>
      </c>
      <c r="B54" s="4">
        <v>136.142</v>
      </c>
      <c r="C54" s="4">
        <v>133.37100000000001</v>
      </c>
      <c r="D54" s="4">
        <v>114.902</v>
      </c>
      <c r="E54" s="4">
        <v>205.703</v>
      </c>
      <c r="F54" s="4">
        <v>97.753</v>
      </c>
      <c r="G54" s="4">
        <v>123.291</v>
      </c>
      <c r="H54" s="4"/>
    </row>
    <row r="55" spans="1:9">
      <c r="A55" t="s">
        <v>58</v>
      </c>
      <c r="B55" s="4">
        <v>128.334</v>
      </c>
      <c r="C55" s="4">
        <v>197.65350000000001</v>
      </c>
      <c r="D55" s="4">
        <v>157.804</v>
      </c>
      <c r="E55" s="4">
        <v>150.48699999999999</v>
      </c>
      <c r="F55" s="4">
        <v>103.295</v>
      </c>
      <c r="G55" s="4">
        <v>124.03100000000001</v>
      </c>
    </row>
    <row r="56" spans="1:9">
      <c r="A56" t="s">
        <v>59</v>
      </c>
      <c r="B56" s="4">
        <v>146.48400000000001</v>
      </c>
      <c r="C56" s="4">
        <v>272</v>
      </c>
      <c r="D56" s="4">
        <v>144</v>
      </c>
      <c r="E56" s="4">
        <v>165.83439999999999</v>
      </c>
      <c r="F56" s="4">
        <v>136.08000000000001</v>
      </c>
      <c r="G56" s="4">
        <v>158.43799999999999</v>
      </c>
    </row>
    <row r="57" spans="1:9">
      <c r="H57" s="4"/>
      <c r="I57" s="4"/>
    </row>
    <row r="58" spans="1:9">
      <c r="A58" t="s">
        <v>93</v>
      </c>
      <c r="B58" t="s">
        <v>60</v>
      </c>
      <c r="C58" t="s">
        <v>61</v>
      </c>
      <c r="D58" t="s">
        <v>62</v>
      </c>
      <c r="E58" t="s">
        <v>63</v>
      </c>
      <c r="F58" t="s">
        <v>64</v>
      </c>
      <c r="G58" t="s">
        <v>65</v>
      </c>
      <c r="H58" s="4"/>
      <c r="I58" s="4"/>
    </row>
    <row r="59" spans="1:9">
      <c r="A59" t="s">
        <v>53</v>
      </c>
      <c r="B59" s="4">
        <v>110.253</v>
      </c>
      <c r="C59" s="4">
        <v>134.97399999999999</v>
      </c>
      <c r="D59" s="4">
        <v>95.296999999999997</v>
      </c>
      <c r="E59" s="4">
        <v>125.02</v>
      </c>
      <c r="F59" s="4">
        <v>88.361000000000004</v>
      </c>
      <c r="G59" s="4">
        <v>142.01900000000001</v>
      </c>
      <c r="H59" s="4"/>
      <c r="I59" s="4"/>
    </row>
    <row r="60" spans="1:9">
      <c r="A60" t="s">
        <v>54</v>
      </c>
      <c r="B60" s="4">
        <v>127.721</v>
      </c>
      <c r="C60" s="4">
        <v>173.22499999999999</v>
      </c>
      <c r="D60" s="4">
        <v>186.38399999999999</v>
      </c>
      <c r="E60" s="4">
        <v>305.54399999999998</v>
      </c>
      <c r="F60" s="4">
        <v>162.25</v>
      </c>
      <c r="G60" s="4">
        <v>174.29300000000001</v>
      </c>
      <c r="H60" s="4"/>
      <c r="I60" s="4"/>
    </row>
    <row r="61" spans="1:9">
      <c r="A61" t="s">
        <v>55</v>
      </c>
      <c r="B61" s="4">
        <v>194.35</v>
      </c>
      <c r="C61" s="4">
        <v>259.85399999999998</v>
      </c>
      <c r="D61" s="4">
        <v>254.72200000000001</v>
      </c>
      <c r="E61" s="4">
        <v>198.57499999999999</v>
      </c>
      <c r="F61" s="4">
        <v>565.61400000000003</v>
      </c>
      <c r="G61" s="4">
        <v>236.08699999999999</v>
      </c>
      <c r="H61" s="4"/>
      <c r="I61" s="4"/>
    </row>
    <row r="62" spans="1:9">
      <c r="A62" t="s">
        <v>56</v>
      </c>
      <c r="B62" s="4">
        <v>380.8</v>
      </c>
      <c r="C62" s="4">
        <v>689.0625</v>
      </c>
      <c r="D62" s="4">
        <v>351.95600000000002</v>
      </c>
      <c r="E62" s="4">
        <v>280.84500000000003</v>
      </c>
      <c r="F62" s="4">
        <v>298.125</v>
      </c>
      <c r="G62" s="4">
        <v>296.45</v>
      </c>
      <c r="H62" s="4"/>
      <c r="I62" s="4"/>
    </row>
    <row r="63" spans="1:9">
      <c r="A63" t="s">
        <v>57</v>
      </c>
      <c r="B63" s="4">
        <v>455.78199999999998</v>
      </c>
      <c r="C63" s="4">
        <v>432.964</v>
      </c>
      <c r="D63" s="4">
        <v>895.79520000000002</v>
      </c>
      <c r="E63" s="4">
        <v>433.5</v>
      </c>
      <c r="F63" s="4">
        <v>794.70500000000004</v>
      </c>
      <c r="G63" s="4">
        <v>491.94799999999998</v>
      </c>
    </row>
    <row r="64" spans="1:9">
      <c r="A64" t="s">
        <v>58</v>
      </c>
      <c r="B64" s="4">
        <v>769.1</v>
      </c>
      <c r="C64" s="4">
        <v>752.79399999999998</v>
      </c>
      <c r="D64" s="4">
        <v>666.12</v>
      </c>
      <c r="E64" s="4">
        <v>777.928</v>
      </c>
      <c r="F64" s="4">
        <v>685.21699999999998</v>
      </c>
      <c r="G64" s="4">
        <v>1196.557</v>
      </c>
    </row>
    <row r="65" spans="1:7">
      <c r="A65" t="s">
        <v>59</v>
      </c>
      <c r="B65" s="4">
        <v>1008</v>
      </c>
      <c r="C65" s="4">
        <v>991.53700000000003</v>
      </c>
      <c r="D65" s="4">
        <v>957.6</v>
      </c>
      <c r="E65" s="4">
        <v>877.83399999999995</v>
      </c>
      <c r="F65" s="4">
        <v>1009.681</v>
      </c>
      <c r="G65" s="4">
        <v>1283.95</v>
      </c>
    </row>
    <row r="67" spans="1:7">
      <c r="A67" t="s">
        <v>94</v>
      </c>
      <c r="B67" t="s">
        <v>60</v>
      </c>
      <c r="C67" t="s">
        <v>61</v>
      </c>
      <c r="D67" t="s">
        <v>62</v>
      </c>
      <c r="E67" t="s">
        <v>63</v>
      </c>
      <c r="F67" t="s">
        <v>64</v>
      </c>
      <c r="G67" t="s">
        <v>65</v>
      </c>
    </row>
    <row r="68" spans="1:7">
      <c r="A68" t="s">
        <v>53</v>
      </c>
      <c r="B68" s="4">
        <v>116.452</v>
      </c>
      <c r="C68" s="4">
        <v>99.058000000000007</v>
      </c>
      <c r="D68" s="4">
        <v>83.906000000000006</v>
      </c>
      <c r="E68" s="4">
        <v>88.557000000000002</v>
      </c>
      <c r="F68" s="4">
        <v>139.42500000000001</v>
      </c>
      <c r="G68" s="4">
        <v>147.875</v>
      </c>
    </row>
    <row r="69" spans="1:7">
      <c r="A69" t="s">
        <v>54</v>
      </c>
      <c r="B69" s="4">
        <v>148.352</v>
      </c>
      <c r="C69" s="4">
        <v>194.834</v>
      </c>
      <c r="D69" s="4">
        <v>132.48699999999999</v>
      </c>
      <c r="E69" s="4">
        <v>243.65600000000001</v>
      </c>
      <c r="F69" s="4">
        <v>216.48500000000001</v>
      </c>
      <c r="G69" s="4">
        <v>159.18100000000001</v>
      </c>
    </row>
    <row r="70" spans="1:7">
      <c r="A70" t="s">
        <v>55</v>
      </c>
      <c r="B70" s="4">
        <v>249.761</v>
      </c>
      <c r="C70" s="4">
        <v>290.262</v>
      </c>
      <c r="D70" s="4">
        <v>202.77799999999999</v>
      </c>
      <c r="E70" s="4">
        <v>176.411</v>
      </c>
      <c r="F70" s="4">
        <v>197.16399999999999</v>
      </c>
      <c r="G70" s="4">
        <v>306.87200000000001</v>
      </c>
    </row>
    <row r="71" spans="1:7">
      <c r="A71" t="s">
        <v>56</v>
      </c>
      <c r="B71" s="4">
        <v>292.49400000000003</v>
      </c>
      <c r="C71" s="4">
        <v>265.58600000000001</v>
      </c>
      <c r="D71" s="4">
        <v>473.81299999999999</v>
      </c>
      <c r="E71" s="4">
        <v>233.04599999999999</v>
      </c>
      <c r="F71" s="4">
        <v>451.584</v>
      </c>
      <c r="G71" s="4">
        <v>255.881</v>
      </c>
    </row>
    <row r="72" spans="1:7">
      <c r="A72" t="s">
        <v>57</v>
      </c>
      <c r="B72" s="4">
        <v>321.41199999999998</v>
      </c>
      <c r="C72" s="4">
        <v>562.18499999999995</v>
      </c>
      <c r="D72" s="4">
        <v>323.2</v>
      </c>
      <c r="E72" s="4">
        <v>340.70400000000001</v>
      </c>
      <c r="F72" s="4">
        <v>451.25</v>
      </c>
      <c r="G72" s="4">
        <v>719.41499999999996</v>
      </c>
    </row>
    <row r="73" spans="1:7">
      <c r="A73" t="s">
        <v>58</v>
      </c>
      <c r="B73" s="4">
        <v>521.50400000000002</v>
      </c>
      <c r="C73" s="4">
        <v>564.54</v>
      </c>
      <c r="D73" s="4">
        <v>716.625</v>
      </c>
      <c r="E73" s="4">
        <v>645.12</v>
      </c>
      <c r="F73" s="4">
        <v>673.85699999999997</v>
      </c>
      <c r="G73" s="4">
        <v>542.53</v>
      </c>
    </row>
    <row r="74" spans="1:7">
      <c r="A74" t="s">
        <v>59</v>
      </c>
      <c r="B74" s="4">
        <v>681.34799999999996</v>
      </c>
      <c r="C74" s="4">
        <v>717.86699999999996</v>
      </c>
      <c r="D74" s="4">
        <v>995.74400000000003</v>
      </c>
      <c r="E74" s="4">
        <v>899.22400000000005</v>
      </c>
      <c r="F74" s="4">
        <v>816.10599999999999</v>
      </c>
      <c r="G74" s="4">
        <v>720.88300000000004</v>
      </c>
    </row>
    <row r="76" spans="1:7">
      <c r="A76" t="s">
        <v>69</v>
      </c>
      <c r="B76" t="s">
        <v>60</v>
      </c>
      <c r="C76" t="s">
        <v>61</v>
      </c>
      <c r="D76" t="s">
        <v>62</v>
      </c>
      <c r="E76" t="s">
        <v>63</v>
      </c>
      <c r="F76" t="s">
        <v>64</v>
      </c>
      <c r="G76" t="s">
        <v>65</v>
      </c>
    </row>
    <row r="77" spans="1:7">
      <c r="A77" t="s">
        <v>53</v>
      </c>
      <c r="B77" s="4">
        <v>108.19799999999999</v>
      </c>
      <c r="C77" s="4">
        <v>145.08199999999999</v>
      </c>
      <c r="D77" s="4">
        <v>102.85</v>
      </c>
      <c r="E77" s="4">
        <v>103.226</v>
      </c>
      <c r="F77" s="4">
        <v>81</v>
      </c>
      <c r="G77" s="4">
        <v>130.22389999999999</v>
      </c>
    </row>
    <row r="78" spans="1:7">
      <c r="A78" t="s">
        <v>54</v>
      </c>
      <c r="B78" s="4">
        <v>166.41</v>
      </c>
      <c r="C78" s="4">
        <v>208.25</v>
      </c>
      <c r="D78" s="4">
        <v>144</v>
      </c>
      <c r="E78" s="4">
        <v>158.43799999999999</v>
      </c>
      <c r="F78" s="4">
        <v>70.875</v>
      </c>
      <c r="G78" s="4">
        <v>96.04</v>
      </c>
    </row>
    <row r="79" spans="1:7">
      <c r="A79" t="s">
        <v>55</v>
      </c>
      <c r="B79" s="4">
        <v>176.32900000000001</v>
      </c>
      <c r="C79" s="4">
        <v>94.028999999999996</v>
      </c>
      <c r="D79" s="4">
        <v>160.88399999999999</v>
      </c>
      <c r="E79" s="4">
        <v>439</v>
      </c>
      <c r="F79" s="4">
        <v>144.114</v>
      </c>
      <c r="G79" s="4">
        <v>129.38200000000001</v>
      </c>
    </row>
    <row r="80" spans="1:7">
      <c r="A80" t="s">
        <v>56</v>
      </c>
      <c r="B80" s="4">
        <v>142.88399999999999</v>
      </c>
      <c r="C80" s="4">
        <v>153.76</v>
      </c>
      <c r="D80" s="4">
        <v>153</v>
      </c>
      <c r="E80" s="4">
        <v>151.38</v>
      </c>
      <c r="F80" s="4">
        <v>168.33799999999999</v>
      </c>
      <c r="G80" s="4">
        <v>135.506</v>
      </c>
    </row>
    <row r="81" spans="1:14">
      <c r="A81" t="s">
        <v>57</v>
      </c>
      <c r="B81" s="4">
        <v>218.61600000000001</v>
      </c>
      <c r="C81" s="4">
        <v>153.15600000000001</v>
      </c>
      <c r="D81" s="4">
        <v>112.49</v>
      </c>
      <c r="E81" s="4">
        <v>173.36</v>
      </c>
      <c r="F81" s="4">
        <v>128.79300000000001</v>
      </c>
      <c r="G81" s="4">
        <v>136.80699999999999</v>
      </c>
    </row>
    <row r="82" spans="1:14">
      <c r="A82" t="s">
        <v>58</v>
      </c>
      <c r="B82" s="4">
        <v>195.696</v>
      </c>
      <c r="C82" s="4">
        <v>160.477</v>
      </c>
      <c r="D82" s="4">
        <v>132.24700000000001</v>
      </c>
      <c r="E82" s="4">
        <v>166.33</v>
      </c>
      <c r="F82" s="4">
        <v>225</v>
      </c>
      <c r="G82" s="4">
        <v>132.89099999999999</v>
      </c>
    </row>
    <row r="83" spans="1:14">
      <c r="A83" t="s">
        <v>59</v>
      </c>
      <c r="B83" s="4">
        <v>304</v>
      </c>
      <c r="C83" s="4">
        <v>232.75</v>
      </c>
      <c r="D83" s="4">
        <v>169</v>
      </c>
      <c r="E83" s="4">
        <v>158.43799999999999</v>
      </c>
      <c r="F83" s="4">
        <v>169</v>
      </c>
      <c r="G83" s="4">
        <v>153.15600000000001</v>
      </c>
    </row>
    <row r="86" spans="1:14">
      <c r="I86" s="4"/>
      <c r="J86" s="4"/>
      <c r="K86" s="4"/>
      <c r="L86" s="4"/>
      <c r="M86" s="4"/>
      <c r="N86" s="4"/>
    </row>
    <row r="88" spans="1:14">
      <c r="A88" t="s">
        <v>66</v>
      </c>
      <c r="B88" s="4">
        <v>653.45500000000004</v>
      </c>
      <c r="C88" s="4">
        <v>722.26599999999996</v>
      </c>
      <c r="D88" s="4">
        <v>822.65599999999995</v>
      </c>
      <c r="E88" s="4">
        <v>626.077</v>
      </c>
      <c r="F88" s="4">
        <v>646.46600000000001</v>
      </c>
      <c r="G88" s="4">
        <v>594.01499999999999</v>
      </c>
    </row>
    <row r="89" spans="1:14">
      <c r="A89" t="s">
        <v>67</v>
      </c>
      <c r="B89" s="4">
        <v>251.05099999999999</v>
      </c>
      <c r="C89" s="4">
        <v>276.238</v>
      </c>
      <c r="D89" s="4">
        <v>239.06299999999999</v>
      </c>
      <c r="E89" s="4">
        <v>450.464</v>
      </c>
      <c r="F89" s="4">
        <v>302.74</v>
      </c>
      <c r="G89" s="4">
        <v>379.31299999999999</v>
      </c>
    </row>
    <row r="90" spans="1:14">
      <c r="A90" t="s">
        <v>68</v>
      </c>
      <c r="B90" s="4">
        <v>253.125</v>
      </c>
      <c r="C90" s="4">
        <v>200.68799999999999</v>
      </c>
      <c r="D90" s="4">
        <v>179.56299999999999</v>
      </c>
      <c r="E90" s="4">
        <v>166.01599999999999</v>
      </c>
      <c r="F90" s="4">
        <v>112.98399999999999</v>
      </c>
      <c r="G90" s="4">
        <v>115.926</v>
      </c>
    </row>
    <row r="93" spans="1:14">
      <c r="A93" t="s">
        <v>90</v>
      </c>
      <c r="B93">
        <v>853.88599999999997</v>
      </c>
      <c r="C93">
        <v>1063.692</v>
      </c>
      <c r="D93">
        <v>744.67100000000005</v>
      </c>
      <c r="E93">
        <v>764.16499999999996</v>
      </c>
      <c r="F93">
        <v>788.85699999999997</v>
      </c>
      <c r="G93">
        <v>882</v>
      </c>
    </row>
    <row r="94" spans="1:14">
      <c r="A94" t="s">
        <v>375</v>
      </c>
      <c r="B94">
        <v>635.59400000000005</v>
      </c>
      <c r="C94">
        <v>642.98299999999995</v>
      </c>
      <c r="D94">
        <v>799.03</v>
      </c>
      <c r="E94">
        <v>535.81500000000005</v>
      </c>
      <c r="F94">
        <v>606.375</v>
      </c>
      <c r="G94">
        <v>523.72299999999996</v>
      </c>
    </row>
    <row r="95" spans="1:14">
      <c r="A95" t="s">
        <v>376</v>
      </c>
      <c r="B95">
        <v>146.48400000000001</v>
      </c>
      <c r="C95">
        <v>272</v>
      </c>
      <c r="D95">
        <v>144</v>
      </c>
      <c r="E95">
        <v>165.834</v>
      </c>
      <c r="F95">
        <v>136.08000000000001</v>
      </c>
      <c r="G95">
        <v>158.43799999999999</v>
      </c>
    </row>
    <row r="98" spans="1:7">
      <c r="A98" t="s">
        <v>93</v>
      </c>
      <c r="B98" s="4">
        <v>1008</v>
      </c>
      <c r="C98" s="4">
        <v>991.53700000000003</v>
      </c>
      <c r="D98" s="4">
        <v>957.6</v>
      </c>
      <c r="E98" s="4">
        <v>877.83399999999995</v>
      </c>
      <c r="F98" s="4">
        <v>1009.681</v>
      </c>
      <c r="G98" s="4">
        <v>1283.95</v>
      </c>
    </row>
    <row r="99" spans="1:7">
      <c r="A99" t="s">
        <v>373</v>
      </c>
      <c r="B99">
        <v>681.34799999999996</v>
      </c>
      <c r="C99">
        <v>717.86699999999996</v>
      </c>
      <c r="D99">
        <v>995.74400000000003</v>
      </c>
      <c r="E99">
        <v>899.22400000000005</v>
      </c>
      <c r="F99">
        <v>816.10599999999999</v>
      </c>
      <c r="G99">
        <v>720.88300000000004</v>
      </c>
    </row>
    <row r="100" spans="1:7">
      <c r="A100" t="s">
        <v>374</v>
      </c>
      <c r="B100" s="4">
        <v>304</v>
      </c>
      <c r="C100" s="4">
        <v>232.75</v>
      </c>
      <c r="D100" s="4">
        <v>169</v>
      </c>
      <c r="E100" s="4">
        <v>158.43799999999999</v>
      </c>
      <c r="F100" s="4">
        <v>169</v>
      </c>
      <c r="G100" s="4">
        <v>153.15600000000001</v>
      </c>
    </row>
    <row r="104" spans="1:7">
      <c r="A104" t="s">
        <v>377</v>
      </c>
      <c r="B104">
        <f>_xlfn.T.TEST(B88:G88,B89:G89,2,2)</f>
        <v>1.9018785298365849E-5</v>
      </c>
    </row>
    <row r="105" spans="1:7">
      <c r="A105" t="s">
        <v>378</v>
      </c>
      <c r="B105">
        <f>_xlfn.T.TEST(B93:G93,B94:G94,2,2)</f>
        <v>4.8892859197934794E-3</v>
      </c>
    </row>
    <row r="106" spans="1:7">
      <c r="A106" t="s">
        <v>379</v>
      </c>
      <c r="B106">
        <f>_xlfn.T.TEST(B98:G98,B99:G99,2,2)</f>
        <v>1.6635489189349092E-2</v>
      </c>
    </row>
    <row r="108" spans="1:7">
      <c r="A108" t="s">
        <v>380</v>
      </c>
      <c r="B108">
        <f>_xlfn.T.TEST(B89:G89,B90:G90,2,2)</f>
        <v>4.6631255181822373E-3</v>
      </c>
    </row>
    <row r="109" spans="1:7">
      <c r="A109" t="s">
        <v>381</v>
      </c>
      <c r="B109">
        <f>_xlfn.T.TEST(B94:G94,B95:G95,2,2)</f>
        <v>1.6521023261539088E-6</v>
      </c>
    </row>
    <row r="110" spans="1:7">
      <c r="A110" t="s">
        <v>382</v>
      </c>
      <c r="B110">
        <f>_xlfn.T.TEST(B99:G99,B100:G100,2,2)</f>
        <v>7.1277634498705526E-7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heetViews>
  <sheetFormatPr defaultRowHeight="15"/>
  <sheetData>
    <row r="1" spans="1:5" ht="15.75">
      <c r="A1" s="76" t="s">
        <v>531</v>
      </c>
    </row>
    <row r="3" spans="1:5">
      <c r="C3" t="s">
        <v>488</v>
      </c>
      <c r="D3" t="s">
        <v>393</v>
      </c>
      <c r="E3" t="s">
        <v>489</v>
      </c>
    </row>
    <row r="4" spans="1:5">
      <c r="A4" t="s">
        <v>490</v>
      </c>
      <c r="B4" t="s">
        <v>491</v>
      </c>
      <c r="C4">
        <v>60</v>
      </c>
      <c r="D4">
        <v>2</v>
      </c>
      <c r="E4">
        <f>C4*D4*0.01</f>
        <v>1.2</v>
      </c>
    </row>
    <row r="5" spans="1:5">
      <c r="B5" t="s">
        <v>33</v>
      </c>
      <c r="C5">
        <v>85</v>
      </c>
      <c r="D5">
        <v>3</v>
      </c>
      <c r="E5">
        <f>C5*D5*0.01</f>
        <v>2.5500000000000003</v>
      </c>
    </row>
    <row r="7" spans="1:5">
      <c r="C7" t="s">
        <v>488</v>
      </c>
      <c r="D7" t="s">
        <v>393</v>
      </c>
    </row>
    <row r="8" spans="1:5">
      <c r="A8" t="s">
        <v>492</v>
      </c>
      <c r="B8">
        <v>2786787</v>
      </c>
      <c r="C8">
        <v>60</v>
      </c>
      <c r="D8">
        <v>1</v>
      </c>
      <c r="E8">
        <f>C8*D8*0.01</f>
        <v>0.6</v>
      </c>
    </row>
    <row r="9" spans="1:5">
      <c r="B9">
        <v>7069459</v>
      </c>
      <c r="C9">
        <v>0</v>
      </c>
      <c r="D9">
        <v>0</v>
      </c>
      <c r="E9">
        <f>C9*D9*0.01</f>
        <v>0</v>
      </c>
    </row>
    <row r="10" spans="1:5">
      <c r="B10">
        <v>3136690</v>
      </c>
      <c r="C10">
        <v>10</v>
      </c>
      <c r="D10">
        <v>2</v>
      </c>
      <c r="E10">
        <f t="shared" ref="E10:E27" si="0">C10*D10*0.01</f>
        <v>0.2</v>
      </c>
    </row>
    <row r="11" spans="1:5">
      <c r="B11">
        <v>3594759</v>
      </c>
      <c r="C11">
        <v>90</v>
      </c>
      <c r="D11">
        <v>3</v>
      </c>
      <c r="E11">
        <f t="shared" si="0"/>
        <v>2.7</v>
      </c>
    </row>
    <row r="12" spans="1:5">
      <c r="B12">
        <v>2502236</v>
      </c>
      <c r="C12">
        <v>0</v>
      </c>
      <c r="D12">
        <v>0</v>
      </c>
      <c r="E12">
        <f t="shared" si="0"/>
        <v>0</v>
      </c>
    </row>
    <row r="13" spans="1:5">
      <c r="B13">
        <v>2778032</v>
      </c>
      <c r="C13">
        <v>20</v>
      </c>
      <c r="D13">
        <v>1</v>
      </c>
      <c r="E13">
        <f t="shared" si="0"/>
        <v>0.2</v>
      </c>
    </row>
    <row r="14" spans="1:5">
      <c r="B14">
        <v>6216862</v>
      </c>
      <c r="C14">
        <v>80</v>
      </c>
      <c r="D14">
        <v>3</v>
      </c>
      <c r="E14">
        <f t="shared" si="0"/>
        <v>2.4</v>
      </c>
    </row>
    <row r="15" spans="1:5">
      <c r="B15">
        <v>7355865</v>
      </c>
      <c r="C15">
        <v>30</v>
      </c>
      <c r="D15">
        <v>1</v>
      </c>
      <c r="E15">
        <f t="shared" si="0"/>
        <v>0.3</v>
      </c>
    </row>
    <row r="16" spans="1:5">
      <c r="B16">
        <v>853036</v>
      </c>
      <c r="C16">
        <v>80</v>
      </c>
      <c r="D16">
        <v>3</v>
      </c>
      <c r="E16">
        <f t="shared" si="0"/>
        <v>2.4</v>
      </c>
    </row>
    <row r="17" spans="2:5">
      <c r="B17">
        <v>5048322</v>
      </c>
      <c r="C17">
        <v>80</v>
      </c>
      <c r="D17">
        <v>1</v>
      </c>
      <c r="E17">
        <f t="shared" si="0"/>
        <v>0.8</v>
      </c>
    </row>
    <row r="18" spans="2:5">
      <c r="B18">
        <v>990985</v>
      </c>
      <c r="C18">
        <v>0</v>
      </c>
      <c r="D18">
        <v>0</v>
      </c>
      <c r="E18">
        <f t="shared" si="0"/>
        <v>0</v>
      </c>
    </row>
    <row r="19" spans="2:5">
      <c r="B19">
        <v>1116123</v>
      </c>
      <c r="C19">
        <v>70</v>
      </c>
      <c r="D19">
        <v>3</v>
      </c>
      <c r="E19">
        <f t="shared" si="0"/>
        <v>2.1</v>
      </c>
    </row>
    <row r="20" spans="2:5">
      <c r="B20">
        <v>4290382</v>
      </c>
      <c r="C20">
        <v>100</v>
      </c>
      <c r="D20">
        <v>3</v>
      </c>
      <c r="E20">
        <f t="shared" si="0"/>
        <v>3</v>
      </c>
    </row>
    <row r="21" spans="2:5">
      <c r="B21">
        <v>936749</v>
      </c>
      <c r="C21">
        <v>100</v>
      </c>
      <c r="D21">
        <v>2</v>
      </c>
      <c r="E21">
        <f t="shared" si="0"/>
        <v>2</v>
      </c>
    </row>
    <row r="22" spans="2:5">
      <c r="B22">
        <v>4295080</v>
      </c>
      <c r="C22">
        <v>100</v>
      </c>
      <c r="D22">
        <v>3</v>
      </c>
      <c r="E22">
        <f t="shared" si="0"/>
        <v>3</v>
      </c>
    </row>
    <row r="23" spans="2:5">
      <c r="B23" t="s">
        <v>493</v>
      </c>
      <c r="C23">
        <v>80</v>
      </c>
      <c r="D23">
        <v>3</v>
      </c>
      <c r="E23">
        <f t="shared" si="0"/>
        <v>2.4</v>
      </c>
    </row>
    <row r="24" spans="2:5">
      <c r="B24" t="s">
        <v>494</v>
      </c>
      <c r="C24">
        <v>0</v>
      </c>
      <c r="D24">
        <v>0</v>
      </c>
      <c r="E24">
        <f t="shared" si="0"/>
        <v>0</v>
      </c>
    </row>
    <row r="25" spans="2:5">
      <c r="B25">
        <v>5048322</v>
      </c>
      <c r="C25">
        <v>100</v>
      </c>
      <c r="D25">
        <v>2</v>
      </c>
      <c r="E25">
        <f t="shared" si="0"/>
        <v>2</v>
      </c>
    </row>
    <row r="26" spans="2:5">
      <c r="B26">
        <v>5008266</v>
      </c>
      <c r="C26">
        <v>50</v>
      </c>
      <c r="D26">
        <v>3</v>
      </c>
      <c r="E26">
        <f t="shared" si="0"/>
        <v>1.5</v>
      </c>
    </row>
    <row r="27" spans="2:5">
      <c r="B27">
        <v>5020317</v>
      </c>
      <c r="C27">
        <v>100</v>
      </c>
      <c r="D27">
        <v>3</v>
      </c>
      <c r="E27">
        <f t="shared" si="0"/>
        <v>3</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1"/>
  <sheetViews>
    <sheetView zoomScale="85" zoomScaleNormal="85" workbookViewId="0"/>
  </sheetViews>
  <sheetFormatPr defaultRowHeight="15"/>
  <cols>
    <col min="20" max="20" width="31.42578125" customWidth="1"/>
    <col min="21" max="21" width="22.140625" customWidth="1"/>
  </cols>
  <sheetData>
    <row r="1" spans="1:21" ht="15.75">
      <c r="A1" s="75" t="s">
        <v>522</v>
      </c>
    </row>
    <row r="3" spans="1:21" ht="15.75" thickBot="1"/>
    <row r="4" spans="1:21">
      <c r="B4" s="6"/>
      <c r="C4" s="7"/>
      <c r="D4" s="7"/>
      <c r="E4" s="7"/>
      <c r="F4" s="8"/>
      <c r="G4" s="9"/>
      <c r="H4" s="10" t="s">
        <v>95</v>
      </c>
      <c r="K4" s="6"/>
      <c r="L4" s="7"/>
      <c r="M4" s="7"/>
      <c r="N4" s="7"/>
      <c r="O4" s="8"/>
      <c r="P4" s="9"/>
      <c r="Q4" s="10" t="s">
        <v>95</v>
      </c>
    </row>
    <row r="5" spans="1:21">
      <c r="B5" s="11"/>
      <c r="C5" s="12" t="s">
        <v>96</v>
      </c>
      <c r="D5" s="12"/>
      <c r="E5" s="12"/>
      <c r="F5" s="13"/>
      <c r="G5" s="14" t="s">
        <v>97</v>
      </c>
      <c r="H5" s="15">
        <v>20</v>
      </c>
      <c r="K5" s="11"/>
      <c r="L5" s="12" t="s">
        <v>98</v>
      </c>
      <c r="M5" s="12"/>
      <c r="N5" s="12"/>
      <c r="O5" s="13"/>
      <c r="P5" s="14" t="s">
        <v>97</v>
      </c>
      <c r="Q5" s="15">
        <v>20</v>
      </c>
    </row>
    <row r="6" spans="1:21">
      <c r="B6" s="11"/>
      <c r="C6" s="12" t="s">
        <v>99</v>
      </c>
      <c r="D6" s="12" t="s">
        <v>100</v>
      </c>
      <c r="E6" s="12" t="s">
        <v>514</v>
      </c>
      <c r="F6" s="16" t="s">
        <v>515</v>
      </c>
      <c r="G6" s="12" t="s">
        <v>514</v>
      </c>
      <c r="H6" s="17" t="s">
        <v>514</v>
      </c>
      <c r="K6" s="11"/>
      <c r="L6" s="12" t="s">
        <v>99</v>
      </c>
      <c r="M6" s="12" t="s">
        <v>100</v>
      </c>
      <c r="N6" s="12" t="s">
        <v>514</v>
      </c>
      <c r="O6" s="16" t="s">
        <v>515</v>
      </c>
      <c r="P6" s="12" t="s">
        <v>514</v>
      </c>
      <c r="Q6" s="17" t="s">
        <v>514</v>
      </c>
    </row>
    <row r="7" spans="1:21">
      <c r="B7" s="18" t="s">
        <v>104</v>
      </c>
      <c r="C7" s="12">
        <v>25.03</v>
      </c>
      <c r="D7" s="12">
        <f>AVERAGE(C7:C9)</f>
        <v>24.939999999999998</v>
      </c>
      <c r="E7" s="12">
        <v>30.1</v>
      </c>
      <c r="F7" s="19">
        <f t="shared" ref="F7:F21" si="0">E7-D7</f>
        <v>5.1600000000000037</v>
      </c>
      <c r="G7" s="19">
        <f t="shared" ref="G7:G21" si="1">1/(2^F7)</f>
        <v>2.796953346649907E-2</v>
      </c>
      <c r="H7" s="20">
        <f t="shared" ref="H7:H21" si="2">G7*20</f>
        <v>0.55939066932998138</v>
      </c>
      <c r="K7" s="18" t="s">
        <v>104</v>
      </c>
      <c r="L7" s="12">
        <v>25.03</v>
      </c>
      <c r="M7" s="12">
        <f>AVERAGE(L7:L9)</f>
        <v>24.939999999999998</v>
      </c>
      <c r="N7" s="12">
        <v>34.18</v>
      </c>
      <c r="O7" s="19">
        <f t="shared" ref="O7:O21" si="3">N7-M7</f>
        <v>9.240000000000002</v>
      </c>
      <c r="P7" s="19">
        <f t="shared" ref="P7:P21" si="4">1/(2^O7)</f>
        <v>1.6537994382080591E-3</v>
      </c>
      <c r="Q7" s="20">
        <f>P7*20</f>
        <v>3.3075988764161179E-2</v>
      </c>
    </row>
    <row r="8" spans="1:21">
      <c r="B8" s="11"/>
      <c r="C8" s="12">
        <v>24.68</v>
      </c>
      <c r="D8" s="12">
        <v>24.939999999999998</v>
      </c>
      <c r="E8" s="12">
        <v>29.64</v>
      </c>
      <c r="F8" s="19">
        <f t="shared" si="0"/>
        <v>4.7000000000000028</v>
      </c>
      <c r="G8" s="19">
        <f t="shared" si="1"/>
        <v>3.8473262917028565E-2</v>
      </c>
      <c r="H8" s="20">
        <f t="shared" si="2"/>
        <v>0.76946525834057133</v>
      </c>
      <c r="K8" s="11"/>
      <c r="L8" s="12">
        <v>24.68</v>
      </c>
      <c r="M8" s="12">
        <v>24.939999999999998</v>
      </c>
      <c r="N8" s="12">
        <v>32.72</v>
      </c>
      <c r="O8" s="19">
        <f t="shared" si="3"/>
        <v>7.7800000000000011</v>
      </c>
      <c r="P8" s="19">
        <f t="shared" si="4"/>
        <v>4.5497405721424012E-3</v>
      </c>
      <c r="Q8" s="20">
        <f t="shared" ref="Q8:Q21" si="5">P8*20</f>
        <v>9.0994811442848017E-2</v>
      </c>
    </row>
    <row r="9" spans="1:21">
      <c r="B9" s="11"/>
      <c r="C9" s="12">
        <v>25.11</v>
      </c>
      <c r="D9" s="12">
        <v>24.939999999999998</v>
      </c>
      <c r="E9" s="12">
        <v>30.01</v>
      </c>
      <c r="F9" s="19">
        <f t="shared" si="0"/>
        <v>5.0700000000000038</v>
      </c>
      <c r="G9" s="19">
        <f t="shared" si="1"/>
        <v>2.9769937438872959E-2</v>
      </c>
      <c r="H9" s="20">
        <f t="shared" si="2"/>
        <v>0.59539874877745913</v>
      </c>
      <c r="K9" s="11"/>
      <c r="L9" s="12">
        <v>25.11</v>
      </c>
      <c r="M9" s="12">
        <v>24.939999999999998</v>
      </c>
      <c r="N9" s="12">
        <v>33.090000000000003</v>
      </c>
      <c r="O9" s="19">
        <f t="shared" si="3"/>
        <v>8.1500000000000057</v>
      </c>
      <c r="P9" s="19">
        <f t="shared" si="4"/>
        <v>3.520509619573542E-3</v>
      </c>
      <c r="Q9" s="20">
        <f t="shared" si="5"/>
        <v>7.0410192391470838E-2</v>
      </c>
    </row>
    <row r="10" spans="1:21">
      <c r="B10" s="18" t="s">
        <v>105</v>
      </c>
      <c r="C10" s="12">
        <v>24.65</v>
      </c>
      <c r="D10" s="12">
        <f>AVERAGE(C10:C12)</f>
        <v>24.540000000000003</v>
      </c>
      <c r="E10" s="69">
        <v>31.43</v>
      </c>
      <c r="F10" s="19">
        <f t="shared" si="0"/>
        <v>6.889999999999997</v>
      </c>
      <c r="G10" s="19">
        <f t="shared" si="1"/>
        <v>8.4314705976908568E-3</v>
      </c>
      <c r="H10" s="20">
        <f t="shared" si="2"/>
        <v>0.16862941195381714</v>
      </c>
      <c r="K10" s="18" t="s">
        <v>105</v>
      </c>
      <c r="L10" s="12">
        <v>24.65</v>
      </c>
      <c r="M10" s="12">
        <f>AVERAGE(L10:L12)</f>
        <v>24.540000000000003</v>
      </c>
      <c r="N10" s="12">
        <v>34.11</v>
      </c>
      <c r="O10" s="19">
        <f t="shared" si="3"/>
        <v>9.5699999999999967</v>
      </c>
      <c r="P10" s="19">
        <f t="shared" si="4"/>
        <v>1.3156577899079041E-3</v>
      </c>
      <c r="Q10" s="20">
        <f t="shared" si="5"/>
        <v>2.6313155798158083E-2</v>
      </c>
    </row>
    <row r="11" spans="1:21">
      <c r="B11" s="11"/>
      <c r="C11" s="12">
        <v>24.66</v>
      </c>
      <c r="D11" s="12">
        <v>24.540000000000003</v>
      </c>
      <c r="E11" s="69">
        <v>31.56</v>
      </c>
      <c r="F11" s="19">
        <f t="shared" si="0"/>
        <v>7.019999999999996</v>
      </c>
      <c r="G11" s="19">
        <f t="shared" si="1"/>
        <v>7.7049430038543939E-3</v>
      </c>
      <c r="H11" s="20">
        <f t="shared" si="2"/>
        <v>0.15409886007708787</v>
      </c>
      <c r="K11" s="11"/>
      <c r="L11" s="12">
        <v>24.66</v>
      </c>
      <c r="M11" s="12">
        <v>24.540000000000003</v>
      </c>
      <c r="N11" s="12">
        <v>34.64</v>
      </c>
      <c r="O11" s="19">
        <f t="shared" si="3"/>
        <v>10.099999999999998</v>
      </c>
      <c r="P11" s="19">
        <f t="shared" si="4"/>
        <v>9.11165030797665E-4</v>
      </c>
      <c r="Q11" s="20">
        <f t="shared" si="5"/>
        <v>1.82233006159533E-2</v>
      </c>
    </row>
    <row r="12" spans="1:21">
      <c r="B12" s="11"/>
      <c r="C12" s="12">
        <v>24.31</v>
      </c>
      <c r="D12" s="12">
        <v>24.540000000000003</v>
      </c>
      <c r="E12" s="69">
        <v>31.62</v>
      </c>
      <c r="F12" s="19">
        <f t="shared" si="0"/>
        <v>7.0799999999999983</v>
      </c>
      <c r="G12" s="19">
        <f t="shared" si="1"/>
        <v>7.3910753650437309E-3</v>
      </c>
      <c r="H12" s="20">
        <f t="shared" si="2"/>
        <v>0.14782150730087462</v>
      </c>
      <c r="K12" s="11"/>
      <c r="L12" s="12">
        <v>24.31</v>
      </c>
      <c r="M12" s="12">
        <v>24.540000000000003</v>
      </c>
      <c r="N12" s="12">
        <v>35</v>
      </c>
      <c r="O12" s="19">
        <f t="shared" si="3"/>
        <v>10.459999999999997</v>
      </c>
      <c r="P12" s="19">
        <f t="shared" si="4"/>
        <v>7.0994751822280923E-4</v>
      </c>
      <c r="Q12" s="20">
        <f t="shared" si="5"/>
        <v>1.4198950364456184E-2</v>
      </c>
    </row>
    <row r="13" spans="1:21">
      <c r="B13" s="18" t="s">
        <v>106</v>
      </c>
      <c r="C13" s="12">
        <v>24.29</v>
      </c>
      <c r="D13" s="12">
        <f>AVERAGE(C13:C15)</f>
        <v>24.156666666666666</v>
      </c>
      <c r="E13" s="12">
        <v>28.62</v>
      </c>
      <c r="F13" s="19">
        <f t="shared" si="0"/>
        <v>4.4633333333333347</v>
      </c>
      <c r="G13" s="19">
        <f t="shared" si="1"/>
        <v>4.5331781419242947E-2</v>
      </c>
      <c r="H13" s="20">
        <f t="shared" si="2"/>
        <v>0.90663562838485889</v>
      </c>
      <c r="K13" s="18" t="s">
        <v>106</v>
      </c>
      <c r="L13" s="12">
        <v>24.29</v>
      </c>
      <c r="M13" s="12">
        <f>AVERAGE(L13:L15)</f>
        <v>24.156666666666666</v>
      </c>
      <c r="N13" s="12">
        <v>33.07</v>
      </c>
      <c r="O13" s="19">
        <f t="shared" si="3"/>
        <v>8.913333333333334</v>
      </c>
      <c r="P13" s="19">
        <f t="shared" si="4"/>
        <v>2.0740503983639798E-3</v>
      </c>
      <c r="Q13" s="20">
        <f t="shared" si="5"/>
        <v>4.1481007967279597E-2</v>
      </c>
    </row>
    <row r="14" spans="1:21">
      <c r="B14" s="11"/>
      <c r="C14" s="12">
        <v>24.1</v>
      </c>
      <c r="D14" s="12">
        <v>24.156666666666666</v>
      </c>
      <c r="E14" s="12">
        <v>29.07</v>
      </c>
      <c r="F14" s="19">
        <f t="shared" si="0"/>
        <v>4.913333333333334</v>
      </c>
      <c r="G14" s="19">
        <f t="shared" si="1"/>
        <v>3.3184806373823657E-2</v>
      </c>
      <c r="H14" s="20">
        <f t="shared" si="2"/>
        <v>0.66369612747647311</v>
      </c>
      <c r="K14" s="11"/>
      <c r="L14" s="12">
        <v>24.1</v>
      </c>
      <c r="M14" s="12">
        <v>24.156666666666666</v>
      </c>
      <c r="N14" s="12">
        <v>33.35</v>
      </c>
      <c r="O14" s="19">
        <f t="shared" si="3"/>
        <v>9.1933333333333351</v>
      </c>
      <c r="P14" s="19">
        <f t="shared" si="4"/>
        <v>1.708169277452803E-3</v>
      </c>
      <c r="Q14" s="20">
        <f t="shared" si="5"/>
        <v>3.4163385549056062E-2</v>
      </c>
    </row>
    <row r="15" spans="1:21">
      <c r="B15" s="11"/>
      <c r="C15" s="12">
        <v>24.08</v>
      </c>
      <c r="D15" s="12">
        <v>24.156666666666666</v>
      </c>
      <c r="E15" s="12">
        <v>29.06</v>
      </c>
      <c r="F15" s="19">
        <f t="shared" si="0"/>
        <v>4.9033333333333324</v>
      </c>
      <c r="G15" s="19">
        <f t="shared" si="1"/>
        <v>3.3415624955679346E-2</v>
      </c>
      <c r="H15" s="20">
        <f t="shared" si="2"/>
        <v>0.66831249911358692</v>
      </c>
      <c r="K15" s="11"/>
      <c r="L15" s="12">
        <v>24.08</v>
      </c>
      <c r="M15" s="12">
        <v>24.156666666666666</v>
      </c>
      <c r="N15" s="12">
        <v>32.840000000000003</v>
      </c>
      <c r="O15" s="19">
        <f t="shared" si="3"/>
        <v>8.6833333333333371</v>
      </c>
      <c r="P15" s="19">
        <f t="shared" si="4"/>
        <v>2.4325187936695696E-3</v>
      </c>
      <c r="Q15" s="20">
        <f t="shared" si="5"/>
        <v>4.865037587339139E-2</v>
      </c>
      <c r="S15" t="s">
        <v>20</v>
      </c>
      <c r="T15" t="s">
        <v>387</v>
      </c>
      <c r="U15">
        <f>_xlfn.T.TEST(H7:H9,H10:H12,2,2)</f>
        <v>1.7453473097482994E-3</v>
      </c>
    </row>
    <row r="16" spans="1:21">
      <c r="B16" s="18" t="s">
        <v>107</v>
      </c>
      <c r="C16" s="12">
        <v>24.05</v>
      </c>
      <c r="D16" s="12">
        <f>AVERAGE(C16:C18)</f>
        <v>24.150000000000002</v>
      </c>
      <c r="E16" s="12">
        <v>31.79</v>
      </c>
      <c r="F16" s="19">
        <f t="shared" si="0"/>
        <v>7.639999999999997</v>
      </c>
      <c r="G16" s="19">
        <f t="shared" si="1"/>
        <v>5.0133824123551034E-3</v>
      </c>
      <c r="H16" s="20">
        <f t="shared" si="2"/>
        <v>0.10026764824710208</v>
      </c>
      <c r="K16" s="18" t="s">
        <v>107</v>
      </c>
      <c r="L16" s="12">
        <v>24.05</v>
      </c>
      <c r="M16" s="12">
        <f>AVERAGE(L16:L18)</f>
        <v>24.150000000000002</v>
      </c>
      <c r="N16" s="12">
        <v>35.269999999999996</v>
      </c>
      <c r="O16" s="19">
        <f t="shared" si="3"/>
        <v>11.119999999999994</v>
      </c>
      <c r="P16" s="19">
        <f t="shared" si="4"/>
        <v>4.4931037628167945E-4</v>
      </c>
      <c r="Q16" s="20">
        <f t="shared" si="5"/>
        <v>8.9862075256335883E-3</v>
      </c>
      <c r="T16" t="s">
        <v>388</v>
      </c>
      <c r="U16">
        <f>_xlfn.T.TEST(H16:H18,H19:H21,2,2)</f>
        <v>0.41606778305657444</v>
      </c>
    </row>
    <row r="17" spans="2:17">
      <c r="B17" s="11"/>
      <c r="C17" s="12">
        <v>24.43</v>
      </c>
      <c r="D17" s="12">
        <v>24.150000000000002</v>
      </c>
      <c r="E17" s="12">
        <v>31.3</v>
      </c>
      <c r="F17" s="19">
        <f t="shared" si="0"/>
        <v>7.1499999999999986</v>
      </c>
      <c r="G17" s="19">
        <f t="shared" si="1"/>
        <v>7.0410192391471222E-3</v>
      </c>
      <c r="H17" s="20">
        <f t="shared" si="2"/>
        <v>0.14082038478294245</v>
      </c>
      <c r="K17" s="11"/>
      <c r="L17" s="12">
        <v>24.43</v>
      </c>
      <c r="M17" s="12">
        <v>24.150000000000002</v>
      </c>
      <c r="N17" s="12">
        <v>35.379999999999995</v>
      </c>
      <c r="O17" s="19">
        <f t="shared" si="3"/>
        <v>11.229999999999993</v>
      </c>
      <c r="P17" s="19">
        <f t="shared" si="4"/>
        <v>4.1632563074607483E-4</v>
      </c>
      <c r="Q17" s="20">
        <f t="shared" si="5"/>
        <v>8.3265126149214969E-3</v>
      </c>
    </row>
    <row r="18" spans="2:17">
      <c r="B18" s="11"/>
      <c r="C18" s="12">
        <v>23.97</v>
      </c>
      <c r="D18" s="12">
        <v>24.150000000000002</v>
      </c>
      <c r="E18" s="12">
        <v>31.21</v>
      </c>
      <c r="F18" s="19">
        <f t="shared" si="0"/>
        <v>7.0599999999999987</v>
      </c>
      <c r="G18" s="19">
        <f t="shared" si="1"/>
        <v>7.4942509322286372E-3</v>
      </c>
      <c r="H18" s="20">
        <f t="shared" si="2"/>
        <v>0.14988501864457274</v>
      </c>
      <c r="K18" s="11"/>
      <c r="L18" s="12">
        <v>23.97</v>
      </c>
      <c r="M18" s="12">
        <v>24.150000000000002</v>
      </c>
      <c r="N18" s="12">
        <v>34.29</v>
      </c>
      <c r="O18" s="19">
        <f t="shared" si="3"/>
        <v>10.139999999999997</v>
      </c>
      <c r="P18" s="19">
        <f t="shared" si="4"/>
        <v>8.8624917511441709E-4</v>
      </c>
      <c r="Q18" s="20">
        <f t="shared" si="5"/>
        <v>1.7724983502288343E-2</v>
      </c>
    </row>
    <row r="19" spans="2:17">
      <c r="B19" s="18" t="s">
        <v>108</v>
      </c>
      <c r="C19" s="12">
        <v>24.57</v>
      </c>
      <c r="D19" s="12">
        <f>AVERAGE(C19:C21)</f>
        <v>24.463333333333335</v>
      </c>
      <c r="E19" s="12">
        <v>31.64</v>
      </c>
      <c r="F19" s="19">
        <f t="shared" si="0"/>
        <v>7.1766666666666659</v>
      </c>
      <c r="G19" s="19">
        <f t="shared" si="1"/>
        <v>6.9120689935909894E-3</v>
      </c>
      <c r="H19" s="20">
        <f t="shared" si="2"/>
        <v>0.13824137987181978</v>
      </c>
      <c r="K19" s="18" t="s">
        <v>108</v>
      </c>
      <c r="L19" s="12">
        <v>24.57</v>
      </c>
      <c r="M19" s="12">
        <f>AVERAGE(L19:L21)</f>
        <v>24.463333333333335</v>
      </c>
      <c r="N19" s="12">
        <v>35.379999999999995</v>
      </c>
      <c r="O19" s="19">
        <f t="shared" si="3"/>
        <v>10.916666666666661</v>
      </c>
      <c r="P19" s="19">
        <f t="shared" si="4"/>
        <v>5.1731596404262705E-4</v>
      </c>
      <c r="Q19" s="20">
        <f t="shared" si="5"/>
        <v>1.0346319280852541E-2</v>
      </c>
    </row>
    <row r="20" spans="2:17">
      <c r="B20" s="11"/>
      <c r="C20" s="12">
        <v>24.44</v>
      </c>
      <c r="D20" s="12">
        <v>24.463333333333335</v>
      </c>
      <c r="E20" s="12">
        <v>31.47</v>
      </c>
      <c r="F20" s="19">
        <f t="shared" si="0"/>
        <v>7.0066666666666642</v>
      </c>
      <c r="G20" s="19">
        <f t="shared" si="1"/>
        <v>7.7764818679939883E-3</v>
      </c>
      <c r="H20" s="20">
        <f t="shared" si="2"/>
        <v>0.15552963735987976</v>
      </c>
      <c r="K20" s="11"/>
      <c r="L20" s="12">
        <v>24.44</v>
      </c>
      <c r="M20" s="12">
        <v>24.463333333333335</v>
      </c>
      <c r="N20" s="12">
        <v>35.35</v>
      </c>
      <c r="O20" s="19">
        <f t="shared" si="3"/>
        <v>10.886666666666667</v>
      </c>
      <c r="P20" s="19">
        <f t="shared" si="4"/>
        <v>5.2818587210942615E-4</v>
      </c>
      <c r="Q20" s="20">
        <f t="shared" si="5"/>
        <v>1.0563717442188522E-2</v>
      </c>
    </row>
    <row r="21" spans="2:17" ht="15.75" thickBot="1">
      <c r="B21" s="21"/>
      <c r="C21" s="22">
        <v>24.38</v>
      </c>
      <c r="D21" s="22">
        <v>24.463333333333335</v>
      </c>
      <c r="E21" s="22">
        <v>31.61</v>
      </c>
      <c r="F21" s="23">
        <f t="shared" si="0"/>
        <v>7.1466666666666647</v>
      </c>
      <c r="G21" s="23">
        <f t="shared" si="1"/>
        <v>7.0573062561811216E-3</v>
      </c>
      <c r="H21" s="26">
        <f t="shared" si="2"/>
        <v>0.14114612512362243</v>
      </c>
      <c r="K21" s="21"/>
      <c r="L21" s="22">
        <v>24.38</v>
      </c>
      <c r="M21" s="22">
        <v>24.463333333333335</v>
      </c>
      <c r="N21" s="22">
        <v>34.69</v>
      </c>
      <c r="O21" s="23">
        <f t="shared" si="3"/>
        <v>10.226666666666663</v>
      </c>
      <c r="P21" s="23">
        <f t="shared" si="4"/>
        <v>8.345773186180681E-4</v>
      </c>
      <c r="Q21" s="26">
        <f t="shared" si="5"/>
        <v>1.6691546372361362E-2</v>
      </c>
    </row>
    <row r="23" spans="2:17" ht="15.75" thickBot="1"/>
    <row r="24" spans="2:17">
      <c r="B24" s="6"/>
      <c r="C24" s="7"/>
      <c r="D24" s="7"/>
      <c r="E24" s="7"/>
      <c r="F24" s="8"/>
      <c r="G24" s="9"/>
      <c r="H24" s="10" t="s">
        <v>95</v>
      </c>
      <c r="K24" s="6"/>
      <c r="L24" s="7"/>
      <c r="M24" s="7"/>
      <c r="N24" s="7"/>
      <c r="O24" s="8"/>
      <c r="P24" s="9"/>
      <c r="Q24" s="10" t="s">
        <v>95</v>
      </c>
    </row>
    <row r="25" spans="2:17">
      <c r="B25" s="11"/>
      <c r="C25" s="12"/>
      <c r="D25" s="12" t="s">
        <v>96</v>
      </c>
      <c r="E25" s="12"/>
      <c r="F25" s="13"/>
      <c r="G25" s="14" t="s">
        <v>97</v>
      </c>
      <c r="H25" s="15">
        <v>20</v>
      </c>
      <c r="K25" s="11"/>
      <c r="L25" s="12"/>
      <c r="M25" s="12" t="s">
        <v>109</v>
      </c>
      <c r="N25" s="12"/>
      <c r="O25" s="13"/>
      <c r="P25" s="14" t="s">
        <v>97</v>
      </c>
      <c r="Q25" s="15">
        <v>20</v>
      </c>
    </row>
    <row r="26" spans="2:17">
      <c r="B26" s="11"/>
      <c r="C26" s="12" t="s">
        <v>99</v>
      </c>
      <c r="D26" s="12" t="s">
        <v>100</v>
      </c>
      <c r="E26" s="12" t="s">
        <v>385</v>
      </c>
      <c r="F26" s="16" t="s">
        <v>386</v>
      </c>
      <c r="G26" s="12" t="s">
        <v>385</v>
      </c>
      <c r="H26" s="17" t="s">
        <v>385</v>
      </c>
      <c r="K26" s="11"/>
      <c r="L26" s="12" t="s">
        <v>99</v>
      </c>
      <c r="M26" s="12" t="s">
        <v>100</v>
      </c>
      <c r="N26" s="12" t="s">
        <v>385</v>
      </c>
      <c r="O26" s="16" t="s">
        <v>386</v>
      </c>
      <c r="P26" s="12" t="s">
        <v>385</v>
      </c>
      <c r="Q26" s="17" t="s">
        <v>385</v>
      </c>
    </row>
    <row r="27" spans="2:17">
      <c r="B27" s="18" t="s">
        <v>104</v>
      </c>
      <c r="C27" s="12">
        <v>26.39</v>
      </c>
      <c r="D27" s="12">
        <v>26.33</v>
      </c>
      <c r="E27" s="12">
        <v>32.74</v>
      </c>
      <c r="F27" s="19">
        <f t="shared" ref="F27:F41" si="6">E27-D27</f>
        <v>6.4100000000000037</v>
      </c>
      <c r="G27" s="19">
        <f t="shared" ref="G27:G41" si="7">1/(2^F27)</f>
        <v>1.1759740214148932E-2</v>
      </c>
      <c r="H27" s="20">
        <f>G27*20</f>
        <v>0.23519480428297865</v>
      </c>
      <c r="K27" s="18" t="s">
        <v>104</v>
      </c>
      <c r="L27" s="12">
        <v>26.39</v>
      </c>
      <c r="M27" s="12">
        <v>26.33</v>
      </c>
      <c r="N27" s="12">
        <v>35.79</v>
      </c>
      <c r="O27" s="19">
        <f t="shared" ref="O27:O41" si="8">N27-M27</f>
        <v>9.4600000000000009</v>
      </c>
      <c r="P27" s="19">
        <f t="shared" ref="P27:P41" si="9">1/(2^O27)</f>
        <v>1.419895036445615E-3</v>
      </c>
      <c r="Q27" s="20">
        <f>P27*20</f>
        <v>2.8397900728912299E-2</v>
      </c>
    </row>
    <row r="28" spans="2:17">
      <c r="B28" s="11"/>
      <c r="C28" s="12">
        <v>26.36</v>
      </c>
      <c r="D28" s="12">
        <v>26.33</v>
      </c>
      <c r="E28" s="12">
        <v>32.82</v>
      </c>
      <c r="F28" s="19">
        <f t="shared" si="6"/>
        <v>6.490000000000002</v>
      </c>
      <c r="G28" s="19">
        <f t="shared" si="7"/>
        <v>1.112539215310211E-2</v>
      </c>
      <c r="H28" s="20">
        <f t="shared" ref="H28:H41" si="10">G28*20</f>
        <v>0.22250784306204222</v>
      </c>
      <c r="K28" s="11"/>
      <c r="L28" s="12">
        <v>26.36</v>
      </c>
      <c r="M28" s="12">
        <v>26.33</v>
      </c>
      <c r="N28" s="12">
        <v>35.75</v>
      </c>
      <c r="O28" s="19">
        <f t="shared" si="8"/>
        <v>9.4200000000000017</v>
      </c>
      <c r="P28" s="19">
        <f t="shared" si="9"/>
        <v>1.4598137193700552E-3</v>
      </c>
      <c r="Q28" s="20">
        <f t="shared" ref="Q28:Q41" si="11">P28*20</f>
        <v>2.9196274387401105E-2</v>
      </c>
    </row>
    <row r="29" spans="2:17">
      <c r="B29" s="11"/>
      <c r="C29" s="12">
        <v>26.24</v>
      </c>
      <c r="D29" s="12">
        <v>26.33</v>
      </c>
      <c r="E29" s="12">
        <v>33.120000000000005</v>
      </c>
      <c r="F29" s="19">
        <f t="shared" si="6"/>
        <v>6.7900000000000063</v>
      </c>
      <c r="G29" s="19">
        <f t="shared" si="7"/>
        <v>9.036626436760023E-3</v>
      </c>
      <c r="H29" s="20">
        <f t="shared" si="10"/>
        <v>0.18073252873520046</v>
      </c>
      <c r="K29" s="11"/>
      <c r="L29" s="12">
        <v>26.24</v>
      </c>
      <c r="M29" s="12">
        <v>26.33</v>
      </c>
      <c r="N29" s="12">
        <v>36.43</v>
      </c>
      <c r="O29" s="19">
        <f t="shared" si="8"/>
        <v>10.100000000000001</v>
      </c>
      <c r="P29" s="19">
        <f t="shared" si="9"/>
        <v>9.1116503079766273E-4</v>
      </c>
      <c r="Q29" s="20">
        <f t="shared" si="11"/>
        <v>1.8223300615953255E-2</v>
      </c>
    </row>
    <row r="30" spans="2:17">
      <c r="B30" s="18" t="s">
        <v>105</v>
      </c>
      <c r="C30" s="12">
        <v>26.3</v>
      </c>
      <c r="D30" s="12">
        <v>26.36</v>
      </c>
      <c r="E30" s="69">
        <v>34.04</v>
      </c>
      <c r="F30" s="19">
        <f t="shared" si="6"/>
        <v>7.68</v>
      </c>
      <c r="G30" s="19">
        <f t="shared" si="7"/>
        <v>4.8762912066469257E-3</v>
      </c>
      <c r="H30" s="20">
        <f t="shared" si="10"/>
        <v>9.7525824132938518E-2</v>
      </c>
      <c r="K30" s="18" t="s">
        <v>105</v>
      </c>
      <c r="L30" s="12">
        <v>26.3</v>
      </c>
      <c r="M30" s="12">
        <v>26.36</v>
      </c>
      <c r="N30" s="12">
        <v>37.369999999999997</v>
      </c>
      <c r="O30" s="19">
        <f t="shared" si="8"/>
        <v>11.009999999999998</v>
      </c>
      <c r="P30" s="19">
        <f t="shared" si="9"/>
        <v>4.849084450376159E-4</v>
      </c>
      <c r="Q30" s="20">
        <f t="shared" si="11"/>
        <v>9.6981689007523183E-3</v>
      </c>
    </row>
    <row r="31" spans="2:17">
      <c r="B31" s="11"/>
      <c r="C31" s="12">
        <v>26.38</v>
      </c>
      <c r="D31" s="12">
        <v>26.36</v>
      </c>
      <c r="E31" s="69">
        <v>34.450000000000003</v>
      </c>
      <c r="F31" s="19">
        <f t="shared" si="6"/>
        <v>8.0900000000000034</v>
      </c>
      <c r="G31" s="19">
        <f t="shared" si="7"/>
        <v>3.6700107391172253E-3</v>
      </c>
      <c r="H31" s="20">
        <f t="shared" si="10"/>
        <v>7.3400214782344514E-2</v>
      </c>
      <c r="K31" s="11"/>
      <c r="L31" s="12">
        <v>26.38</v>
      </c>
      <c r="M31" s="12">
        <v>26.36</v>
      </c>
      <c r="N31" s="12">
        <v>37.24</v>
      </c>
      <c r="O31" s="19">
        <f t="shared" si="8"/>
        <v>10.880000000000003</v>
      </c>
      <c r="P31" s="19">
        <f t="shared" si="9"/>
        <v>5.3063225709280111E-4</v>
      </c>
      <c r="Q31" s="20">
        <f t="shared" si="11"/>
        <v>1.0612645141856022E-2</v>
      </c>
    </row>
    <row r="32" spans="2:17">
      <c r="B32" s="11"/>
      <c r="C32" s="12">
        <v>26.4</v>
      </c>
      <c r="D32" s="12">
        <v>26.36</v>
      </c>
      <c r="E32" s="69">
        <v>34.21</v>
      </c>
      <c r="F32" s="19">
        <f t="shared" si="6"/>
        <v>7.8500000000000014</v>
      </c>
      <c r="G32" s="19">
        <f t="shared" si="7"/>
        <v>4.3342557502650146E-3</v>
      </c>
      <c r="H32" s="20">
        <f t="shared" si="10"/>
        <v>8.6685115005300295E-2</v>
      </c>
      <c r="K32" s="11"/>
      <c r="L32" s="12">
        <v>26.4</v>
      </c>
      <c r="M32" s="12">
        <v>26.36</v>
      </c>
      <c r="N32" s="12">
        <v>36.74</v>
      </c>
      <c r="O32" s="19">
        <f t="shared" si="8"/>
        <v>10.380000000000003</v>
      </c>
      <c r="P32" s="19">
        <f t="shared" si="9"/>
        <v>7.5042733461328631E-4</v>
      </c>
      <c r="Q32" s="20">
        <f t="shared" si="11"/>
        <v>1.5008546692265727E-2</v>
      </c>
    </row>
    <row r="33" spans="2:21">
      <c r="B33" s="18" t="s">
        <v>106</v>
      </c>
      <c r="C33" s="12">
        <v>26.1</v>
      </c>
      <c r="D33" s="12">
        <v>25.810000000000002</v>
      </c>
      <c r="E33" s="12">
        <v>32.320000000000007</v>
      </c>
      <c r="F33" s="19">
        <f t="shared" si="6"/>
        <v>6.5100000000000051</v>
      </c>
      <c r="G33" s="19">
        <f t="shared" si="7"/>
        <v>1.0972225591703064E-2</v>
      </c>
      <c r="H33" s="20">
        <f t="shared" si="10"/>
        <v>0.21944451183406127</v>
      </c>
      <c r="K33" s="18" t="s">
        <v>106</v>
      </c>
      <c r="L33" s="12">
        <v>26.1</v>
      </c>
      <c r="M33" s="12">
        <v>25.810000000000002</v>
      </c>
      <c r="N33" s="12">
        <v>36.85</v>
      </c>
      <c r="O33" s="19">
        <f t="shared" si="8"/>
        <v>11.04</v>
      </c>
      <c r="P33" s="19">
        <f t="shared" si="9"/>
        <v>4.7492917354115532E-4</v>
      </c>
      <c r="Q33" s="20">
        <f t="shared" si="11"/>
        <v>9.4985834708231059E-3</v>
      </c>
    </row>
    <row r="34" spans="2:21">
      <c r="B34" s="11"/>
      <c r="C34" s="12">
        <v>26.17</v>
      </c>
      <c r="D34" s="12">
        <v>25.810000000000002</v>
      </c>
      <c r="E34" s="12">
        <v>32.410000000000004</v>
      </c>
      <c r="F34" s="19">
        <f t="shared" si="6"/>
        <v>6.6000000000000014</v>
      </c>
      <c r="G34" s="19">
        <f t="shared" si="7"/>
        <v>1.0308655552913231E-2</v>
      </c>
      <c r="H34" s="20">
        <f t="shared" si="10"/>
        <v>0.20617311105826461</v>
      </c>
      <c r="K34" s="11"/>
      <c r="L34" s="12">
        <v>26.17</v>
      </c>
      <c r="M34" s="12">
        <v>25.810000000000002</v>
      </c>
      <c r="N34" s="12">
        <v>36.83</v>
      </c>
      <c r="O34" s="19">
        <f t="shared" si="8"/>
        <v>11.019999999999996</v>
      </c>
      <c r="P34" s="19">
        <f t="shared" si="9"/>
        <v>4.815589377408994E-4</v>
      </c>
      <c r="Q34" s="20">
        <f t="shared" si="11"/>
        <v>9.6311787548179883E-3</v>
      </c>
    </row>
    <row r="35" spans="2:21">
      <c r="B35" s="11"/>
      <c r="C35" s="12">
        <v>25.16</v>
      </c>
      <c r="D35" s="12">
        <v>25.810000000000002</v>
      </c>
      <c r="E35" s="12">
        <v>32.180000000000007</v>
      </c>
      <c r="F35" s="19">
        <f t="shared" si="6"/>
        <v>6.3700000000000045</v>
      </c>
      <c r="G35" s="19">
        <f t="shared" si="7"/>
        <v>1.2090351512049881E-2</v>
      </c>
      <c r="H35" s="20">
        <f t="shared" si="10"/>
        <v>0.24180703024099762</v>
      </c>
      <c r="K35" s="11"/>
      <c r="L35" s="12">
        <v>25.16</v>
      </c>
      <c r="M35" s="12">
        <v>25.810000000000002</v>
      </c>
      <c r="N35" s="12">
        <v>37.380000000000003</v>
      </c>
      <c r="O35" s="19">
        <f t="shared" si="8"/>
        <v>11.57</v>
      </c>
      <c r="P35" s="19">
        <f t="shared" si="9"/>
        <v>3.2891444747697537E-4</v>
      </c>
      <c r="Q35" s="20">
        <f t="shared" si="11"/>
        <v>6.5782889495395076E-3</v>
      </c>
      <c r="S35" t="s">
        <v>20</v>
      </c>
      <c r="T35" t="s">
        <v>387</v>
      </c>
      <c r="U35">
        <f>_xlfn.T.TEST(H27:H29,H30:H32,2,2)</f>
        <v>2.0747733515694942E-3</v>
      </c>
    </row>
    <row r="36" spans="2:21">
      <c r="B36" s="18" t="s">
        <v>107</v>
      </c>
      <c r="C36" s="12">
        <v>26.31</v>
      </c>
      <c r="D36" s="12">
        <v>26.58</v>
      </c>
      <c r="E36" s="12">
        <v>34.83</v>
      </c>
      <c r="F36" s="19">
        <f t="shared" si="6"/>
        <v>8.25</v>
      </c>
      <c r="G36" s="19">
        <f t="shared" si="7"/>
        <v>3.2847516220848244E-3</v>
      </c>
      <c r="H36" s="20">
        <f t="shared" si="10"/>
        <v>6.5695032441696485E-2</v>
      </c>
      <c r="K36" s="18" t="s">
        <v>107</v>
      </c>
      <c r="L36" s="12">
        <v>26.31</v>
      </c>
      <c r="M36" s="12">
        <v>26.58</v>
      </c>
      <c r="N36" s="12">
        <v>36.85</v>
      </c>
      <c r="O36" s="19">
        <f t="shared" si="8"/>
        <v>10.270000000000003</v>
      </c>
      <c r="P36" s="19">
        <f t="shared" si="9"/>
        <v>8.0988236895941418E-4</v>
      </c>
      <c r="Q36" s="20">
        <f t="shared" si="11"/>
        <v>1.6197647379188284E-2</v>
      </c>
      <c r="T36" t="s">
        <v>388</v>
      </c>
      <c r="U36">
        <f>_xlfn.T.TEST(H36:H38,H39:H41,2,2)</f>
        <v>0.26267443005260166</v>
      </c>
    </row>
    <row r="37" spans="2:21">
      <c r="B37" s="11"/>
      <c r="C37" s="12">
        <v>26.69</v>
      </c>
      <c r="D37" s="12">
        <v>26.58</v>
      </c>
      <c r="E37" s="12">
        <v>34.479999999999997</v>
      </c>
      <c r="F37" s="19">
        <f t="shared" si="6"/>
        <v>7.8999999999999986</v>
      </c>
      <c r="G37" s="19">
        <f t="shared" si="7"/>
        <v>4.1866150880323994E-3</v>
      </c>
      <c r="H37" s="20">
        <f t="shared" si="10"/>
        <v>8.3732301760647984E-2</v>
      </c>
      <c r="K37" s="11"/>
      <c r="L37" s="12">
        <v>26.69</v>
      </c>
      <c r="M37" s="12">
        <v>26.58</v>
      </c>
      <c r="N37" s="12">
        <v>36.96</v>
      </c>
      <c r="O37" s="19">
        <f t="shared" si="8"/>
        <v>10.380000000000003</v>
      </c>
      <c r="P37" s="19">
        <f t="shared" si="9"/>
        <v>7.5042733461328631E-4</v>
      </c>
      <c r="Q37" s="20">
        <f t="shared" si="11"/>
        <v>1.5008546692265727E-2</v>
      </c>
    </row>
    <row r="38" spans="2:21">
      <c r="B38" s="11"/>
      <c r="C38" s="12">
        <v>26.74</v>
      </c>
      <c r="D38" s="12">
        <v>26.58</v>
      </c>
      <c r="E38" s="12">
        <v>34.76</v>
      </c>
      <c r="F38" s="19">
        <f t="shared" si="6"/>
        <v>8.18</v>
      </c>
      <c r="G38" s="19">
        <f t="shared" si="7"/>
        <v>3.4480585792603727E-3</v>
      </c>
      <c r="H38" s="20">
        <f t="shared" si="10"/>
        <v>6.8961171585207454E-2</v>
      </c>
      <c r="K38" s="11"/>
      <c r="L38" s="12">
        <v>26.74</v>
      </c>
      <c r="M38" s="12">
        <v>26.58</v>
      </c>
      <c r="N38" s="12">
        <v>37.090000000000003</v>
      </c>
      <c r="O38" s="19">
        <f t="shared" si="8"/>
        <v>10.510000000000005</v>
      </c>
      <c r="P38" s="19">
        <f t="shared" si="9"/>
        <v>6.8576409948144191E-4</v>
      </c>
      <c r="Q38" s="20">
        <f t="shared" si="11"/>
        <v>1.3715281989628838E-2</v>
      </c>
    </row>
    <row r="39" spans="2:21">
      <c r="B39" s="18" t="s">
        <v>108</v>
      </c>
      <c r="C39" s="12">
        <v>26.39</v>
      </c>
      <c r="D39" s="12">
        <v>26.29</v>
      </c>
      <c r="E39" s="12">
        <v>34.82</v>
      </c>
      <c r="F39" s="19">
        <f t="shared" si="6"/>
        <v>8.5300000000000011</v>
      </c>
      <c r="G39" s="19">
        <f t="shared" si="7"/>
        <v>2.7052919299041479E-3</v>
      </c>
      <c r="H39" s="20">
        <f t="shared" si="10"/>
        <v>5.4105838598082961E-2</v>
      </c>
      <c r="K39" s="18" t="s">
        <v>108</v>
      </c>
      <c r="L39" s="12">
        <v>26.39</v>
      </c>
      <c r="M39" s="12">
        <v>26.29</v>
      </c>
      <c r="N39" s="12">
        <v>36.39</v>
      </c>
      <c r="O39" s="19">
        <f t="shared" si="8"/>
        <v>10.100000000000001</v>
      </c>
      <c r="P39" s="19">
        <f t="shared" si="9"/>
        <v>9.1116503079766273E-4</v>
      </c>
      <c r="Q39" s="20">
        <f t="shared" si="11"/>
        <v>1.8223300615953255E-2</v>
      </c>
    </row>
    <row r="40" spans="2:21">
      <c r="B40" s="11"/>
      <c r="C40" s="12">
        <v>26.29</v>
      </c>
      <c r="D40" s="12">
        <v>26.29</v>
      </c>
      <c r="E40" s="12">
        <v>34.370000000000005</v>
      </c>
      <c r="F40" s="19">
        <f t="shared" si="6"/>
        <v>8.0800000000000054</v>
      </c>
      <c r="G40" s="19">
        <f t="shared" si="7"/>
        <v>3.6955376825218455E-3</v>
      </c>
      <c r="H40" s="20">
        <f t="shared" si="10"/>
        <v>7.3910753650436908E-2</v>
      </c>
      <c r="K40" s="11"/>
      <c r="L40" s="12">
        <v>26.29</v>
      </c>
      <c r="M40" s="12">
        <v>26.29</v>
      </c>
      <c r="N40" s="12">
        <v>35.81</v>
      </c>
      <c r="O40" s="19">
        <f t="shared" si="8"/>
        <v>9.5200000000000031</v>
      </c>
      <c r="P40" s="19">
        <f t="shared" si="9"/>
        <v>1.3620543616703147E-3</v>
      </c>
      <c r="Q40" s="20">
        <f t="shared" si="11"/>
        <v>2.7241087233406295E-2</v>
      </c>
    </row>
    <row r="41" spans="2:21" ht="15.75" thickBot="1">
      <c r="B41" s="21"/>
      <c r="C41" s="22">
        <v>26.19</v>
      </c>
      <c r="D41" s="22">
        <v>26.29</v>
      </c>
      <c r="E41" s="22">
        <v>34.71</v>
      </c>
      <c r="F41" s="23">
        <f t="shared" si="6"/>
        <v>8.4200000000000017</v>
      </c>
      <c r="G41" s="23">
        <f t="shared" si="7"/>
        <v>2.9196274387401104E-3</v>
      </c>
      <c r="H41" s="26">
        <f t="shared" si="10"/>
        <v>5.8392548774802211E-2</v>
      </c>
      <c r="K41" s="21"/>
      <c r="L41" s="22">
        <v>26.19</v>
      </c>
      <c r="M41" s="22">
        <v>26.29</v>
      </c>
      <c r="N41" s="22">
        <v>36.58</v>
      </c>
      <c r="O41" s="23">
        <f t="shared" si="8"/>
        <v>10.29</v>
      </c>
      <c r="P41" s="23">
        <f t="shared" si="9"/>
        <v>7.9873247906033407E-4</v>
      </c>
      <c r="Q41" s="26">
        <f t="shared" si="11"/>
        <v>1.597464958120668E-2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zoomScale="85" zoomScaleNormal="85" workbookViewId="0"/>
  </sheetViews>
  <sheetFormatPr defaultRowHeight="15"/>
  <cols>
    <col min="1" max="1" width="19.140625" customWidth="1"/>
    <col min="2" max="2" width="12.140625" customWidth="1"/>
    <col min="3" max="3" width="18.42578125" customWidth="1"/>
    <col min="4" max="4" width="13.140625" customWidth="1"/>
    <col min="7" max="7" width="16.7109375" customWidth="1"/>
    <col min="8" max="8" width="10.5703125" customWidth="1"/>
    <col min="9" max="9" width="17.5703125" customWidth="1"/>
    <col min="10" max="10" width="21.42578125" customWidth="1"/>
    <col min="12" max="12" width="10.42578125" customWidth="1"/>
    <col min="13" max="13" width="11.140625" customWidth="1"/>
    <col min="14" max="14" width="15.42578125" customWidth="1"/>
    <col min="15" max="15" width="10.5703125" customWidth="1"/>
    <col min="16" max="16" width="11.85546875" customWidth="1"/>
    <col min="17" max="17" width="9.140625" customWidth="1"/>
    <col min="18" max="18" width="33.140625" customWidth="1"/>
    <col min="19" max="19" width="15.28515625" customWidth="1"/>
  </cols>
  <sheetData>
    <row r="1" spans="1:19" ht="15.75">
      <c r="A1" s="77" t="s">
        <v>540</v>
      </c>
    </row>
    <row r="3" spans="1:19" ht="15.75" thickBot="1"/>
    <row r="4" spans="1:19">
      <c r="A4" s="6"/>
      <c r="B4" s="7"/>
      <c r="C4" s="7"/>
      <c r="D4" s="7"/>
      <c r="E4" s="8"/>
      <c r="F4" s="9"/>
      <c r="G4" s="10" t="s">
        <v>95</v>
      </c>
      <c r="I4" s="6"/>
      <c r="J4" s="7"/>
      <c r="K4" s="7"/>
      <c r="L4" s="7"/>
      <c r="M4" s="8"/>
      <c r="N4" s="9"/>
      <c r="O4" s="10" t="s">
        <v>95</v>
      </c>
    </row>
    <row r="5" spans="1:19">
      <c r="A5" s="11"/>
      <c r="B5" s="12" t="s">
        <v>513</v>
      </c>
      <c r="C5" s="12"/>
      <c r="D5" s="12"/>
      <c r="E5" s="13"/>
      <c r="F5" s="14" t="s">
        <v>97</v>
      </c>
      <c r="G5" s="15">
        <v>20</v>
      </c>
      <c r="I5" s="11"/>
      <c r="J5" s="12"/>
      <c r="K5" s="12" t="s">
        <v>109</v>
      </c>
      <c r="L5" s="12"/>
      <c r="M5" s="13"/>
      <c r="N5" s="14" t="s">
        <v>97</v>
      </c>
      <c r="O5" s="15">
        <v>20</v>
      </c>
    </row>
    <row r="6" spans="1:19">
      <c r="A6" s="11"/>
      <c r="B6" s="12" t="s">
        <v>99</v>
      </c>
      <c r="C6" s="12" t="s">
        <v>100</v>
      </c>
      <c r="D6" s="12" t="s">
        <v>514</v>
      </c>
      <c r="E6" s="16" t="s">
        <v>515</v>
      </c>
      <c r="F6" s="12" t="s">
        <v>514</v>
      </c>
      <c r="G6" s="17" t="s">
        <v>514</v>
      </c>
      <c r="I6" s="11"/>
      <c r="J6" s="12" t="s">
        <v>99</v>
      </c>
      <c r="K6" s="12" t="s">
        <v>100</v>
      </c>
      <c r="L6" s="12" t="s">
        <v>514</v>
      </c>
      <c r="M6" s="16" t="s">
        <v>515</v>
      </c>
      <c r="N6" s="12" t="s">
        <v>514</v>
      </c>
      <c r="O6" s="17" t="s">
        <v>514</v>
      </c>
    </row>
    <row r="7" spans="1:19">
      <c r="A7" s="18" t="s">
        <v>104</v>
      </c>
      <c r="B7" s="12">
        <v>23.52</v>
      </c>
      <c r="C7" s="12">
        <v>24.55</v>
      </c>
      <c r="D7" s="24">
        <v>26.98</v>
      </c>
      <c r="E7" s="19">
        <f t="shared" ref="E7:E21" si="0">D7-C7</f>
        <v>2.4299999999999997</v>
      </c>
      <c r="F7" s="19">
        <f t="shared" ref="F7:F21" si="1">1/(2^E7)</f>
        <v>0.1855654463286312</v>
      </c>
      <c r="G7" s="20">
        <f>F7*20</f>
        <v>3.7113089265726238</v>
      </c>
      <c r="I7" s="18" t="s">
        <v>104</v>
      </c>
      <c r="J7" s="12">
        <v>23.02</v>
      </c>
      <c r="K7" s="12">
        <v>23.55</v>
      </c>
      <c r="L7" s="27">
        <v>28.64</v>
      </c>
      <c r="M7" s="19">
        <f>L7-K7</f>
        <v>5.09</v>
      </c>
      <c r="N7" s="19">
        <f>1/(2^M7)</f>
        <v>2.9360085912937876E-2</v>
      </c>
      <c r="O7" s="20">
        <f>N7*20</f>
        <v>0.58720171825875755</v>
      </c>
      <c r="P7" s="28"/>
    </row>
    <row r="8" spans="1:19">
      <c r="A8" s="11"/>
      <c r="B8" s="12">
        <v>24.32</v>
      </c>
      <c r="C8" s="12">
        <v>24.55</v>
      </c>
      <c r="D8" s="24">
        <v>26.53</v>
      </c>
      <c r="E8" s="19">
        <f t="shared" si="0"/>
        <v>1.9800000000000004</v>
      </c>
      <c r="F8" s="19">
        <f t="shared" si="1"/>
        <v>0.25348986994750722</v>
      </c>
      <c r="G8" s="20">
        <f t="shared" ref="G8:G21" si="2">F8*20</f>
        <v>5.0697973989501444</v>
      </c>
      <c r="I8" s="11"/>
      <c r="J8" s="12">
        <v>23.82</v>
      </c>
      <c r="K8" s="12">
        <v>23.55</v>
      </c>
      <c r="L8" s="27">
        <v>29.71</v>
      </c>
      <c r="M8" s="19">
        <f t="shared" ref="M8" si="3">L8-K8</f>
        <v>6.16</v>
      </c>
      <c r="N8" s="19">
        <f t="shared" ref="N8:N21" si="4">1/(2^M8)</f>
        <v>1.3984766733249563E-2</v>
      </c>
      <c r="O8" s="20">
        <f t="shared" ref="O8" si="5">N8*20</f>
        <v>0.27969533466499125</v>
      </c>
      <c r="P8" s="28"/>
    </row>
    <row r="9" spans="1:19">
      <c r="A9" s="11"/>
      <c r="B9" s="12">
        <v>24.3</v>
      </c>
      <c r="C9" s="12">
        <v>24.55</v>
      </c>
      <c r="D9" s="24">
        <v>27.17</v>
      </c>
      <c r="E9" s="19">
        <f t="shared" si="0"/>
        <v>2.620000000000001</v>
      </c>
      <c r="F9" s="19">
        <f t="shared" si="1"/>
        <v>0.16266773193024159</v>
      </c>
      <c r="G9" s="20">
        <f t="shared" si="2"/>
        <v>3.253354638604832</v>
      </c>
      <c r="I9" s="11"/>
      <c r="J9" s="12">
        <v>23.8</v>
      </c>
      <c r="K9" s="12">
        <v>23.55</v>
      </c>
      <c r="L9" s="27">
        <v>29.23</v>
      </c>
      <c r="M9" s="19">
        <f>L9-K9</f>
        <v>5.68</v>
      </c>
      <c r="N9" s="19">
        <f t="shared" si="4"/>
        <v>1.9505164826587696E-2</v>
      </c>
      <c r="O9" s="20">
        <f>N9*20</f>
        <v>0.39010329653175391</v>
      </c>
      <c r="P9" s="28"/>
    </row>
    <row r="10" spans="1:19">
      <c r="A10" s="18" t="s">
        <v>105</v>
      </c>
      <c r="B10" s="12">
        <v>24.35</v>
      </c>
      <c r="C10" s="12">
        <v>24.77</v>
      </c>
      <c r="D10" s="24">
        <v>27.35</v>
      </c>
      <c r="E10" s="19">
        <f t="shared" si="0"/>
        <v>2.5800000000000018</v>
      </c>
      <c r="F10" s="19">
        <f t="shared" si="1"/>
        <v>0.16724094434826381</v>
      </c>
      <c r="G10" s="20">
        <f t="shared" si="2"/>
        <v>3.3448188869652764</v>
      </c>
      <c r="I10" s="18" t="s">
        <v>105</v>
      </c>
      <c r="J10" s="12">
        <v>23.85</v>
      </c>
      <c r="K10" s="12">
        <v>23.77</v>
      </c>
      <c r="L10" s="27">
        <v>29.95</v>
      </c>
      <c r="M10" s="19">
        <f t="shared" ref="M10:M21" si="6">L10-K10</f>
        <v>6.18</v>
      </c>
      <c r="N10" s="19">
        <f t="shared" si="4"/>
        <v>1.3792234317041484E-2</v>
      </c>
      <c r="O10" s="20">
        <f t="shared" ref="O10:O20" si="7">N10*20</f>
        <v>0.2758446863408297</v>
      </c>
      <c r="P10" s="28"/>
    </row>
    <row r="11" spans="1:19">
      <c r="A11" s="11"/>
      <c r="B11" s="12">
        <v>24.51</v>
      </c>
      <c r="C11" s="12">
        <v>24.77</v>
      </c>
      <c r="D11" s="24">
        <v>27.18</v>
      </c>
      <c r="E11" s="19">
        <f t="shared" si="0"/>
        <v>2.41</v>
      </c>
      <c r="F11" s="19">
        <f t="shared" si="1"/>
        <v>0.18815584342638339</v>
      </c>
      <c r="G11" s="20">
        <f t="shared" si="2"/>
        <v>3.7631168685276677</v>
      </c>
      <c r="I11" s="11"/>
      <c r="J11" s="12">
        <v>24.01</v>
      </c>
      <c r="K11" s="12">
        <v>23.77</v>
      </c>
      <c r="L11" s="27">
        <v>29.73</v>
      </c>
      <c r="M11" s="19">
        <f t="shared" si="6"/>
        <v>5.9600000000000009</v>
      </c>
      <c r="N11" s="19">
        <f t="shared" si="4"/>
        <v>1.6064278541501033E-2</v>
      </c>
      <c r="O11" s="20">
        <f t="shared" si="7"/>
        <v>0.32128557083002063</v>
      </c>
      <c r="P11" s="28"/>
    </row>
    <row r="12" spans="1:19">
      <c r="A12" s="11"/>
      <c r="B12" s="12">
        <v>23.95</v>
      </c>
      <c r="C12" s="12">
        <v>24.77</v>
      </c>
      <c r="D12" s="24">
        <v>27.02</v>
      </c>
      <c r="E12" s="19">
        <f t="shared" si="0"/>
        <v>2.25</v>
      </c>
      <c r="F12" s="19">
        <f t="shared" si="1"/>
        <v>0.21022410381342865</v>
      </c>
      <c r="G12" s="20">
        <f t="shared" si="2"/>
        <v>4.2044820762685733</v>
      </c>
      <c r="I12" s="11"/>
      <c r="J12" s="12">
        <v>23.45</v>
      </c>
      <c r="K12" s="12">
        <v>23.77</v>
      </c>
      <c r="L12" s="27">
        <v>29.24</v>
      </c>
      <c r="M12" s="19">
        <f t="shared" si="6"/>
        <v>5.4699999999999989</v>
      </c>
      <c r="N12" s="19">
        <f t="shared" si="4"/>
        <v>2.2561393680039017E-2</v>
      </c>
      <c r="O12" s="20">
        <f t="shared" si="7"/>
        <v>0.45122787360078032</v>
      </c>
      <c r="P12" s="28"/>
    </row>
    <row r="13" spans="1:19">
      <c r="A13" s="18" t="s">
        <v>106</v>
      </c>
      <c r="B13" s="12">
        <v>24.13</v>
      </c>
      <c r="C13" s="12">
        <v>24.34</v>
      </c>
      <c r="D13" s="24">
        <v>28.29</v>
      </c>
      <c r="E13" s="19">
        <f t="shared" si="0"/>
        <v>3.9499999999999993</v>
      </c>
      <c r="F13" s="19">
        <f t="shared" si="1"/>
        <v>6.4704057740086127E-2</v>
      </c>
      <c r="G13" s="20">
        <f t="shared" si="2"/>
        <v>1.2940811548017226</v>
      </c>
      <c r="I13" s="18" t="s">
        <v>106</v>
      </c>
      <c r="J13" s="12">
        <v>23.63</v>
      </c>
      <c r="K13" s="12">
        <v>23.34</v>
      </c>
      <c r="L13" s="27">
        <v>28.81</v>
      </c>
      <c r="M13" s="19">
        <f t="shared" si="6"/>
        <v>5.4699999999999989</v>
      </c>
      <c r="N13" s="19">
        <f t="shared" si="4"/>
        <v>2.2561393680039017E-2</v>
      </c>
      <c r="O13" s="20">
        <f t="shared" si="7"/>
        <v>0.45122787360078032</v>
      </c>
      <c r="P13" s="28"/>
    </row>
    <row r="14" spans="1:19">
      <c r="A14" s="11"/>
      <c r="B14" s="12">
        <v>23.63</v>
      </c>
      <c r="C14" s="12">
        <v>24.34</v>
      </c>
      <c r="D14" s="24">
        <v>28.04</v>
      </c>
      <c r="E14" s="19">
        <f t="shared" si="0"/>
        <v>3.6999999999999993</v>
      </c>
      <c r="F14" s="19">
        <f t="shared" si="1"/>
        <v>7.6946525834057311E-2</v>
      </c>
      <c r="G14" s="20">
        <f t="shared" si="2"/>
        <v>1.5389305166811462</v>
      </c>
      <c r="I14" s="11"/>
      <c r="J14" s="12">
        <v>23.13</v>
      </c>
      <c r="K14" s="12">
        <v>23.34</v>
      </c>
      <c r="L14" s="27">
        <v>30.15</v>
      </c>
      <c r="M14" s="19">
        <f t="shared" si="6"/>
        <v>6.8099999999999987</v>
      </c>
      <c r="N14" s="19">
        <f t="shared" si="4"/>
        <v>8.9122165302220682E-3</v>
      </c>
      <c r="O14" s="20">
        <f t="shared" si="7"/>
        <v>0.17824433060444136</v>
      </c>
      <c r="P14" s="28"/>
      <c r="Q14" t="s">
        <v>20</v>
      </c>
      <c r="R14" t="s">
        <v>387</v>
      </c>
      <c r="S14">
        <f>_xlfn.T.TEST(G7:G9,G10:G12,2,2)</f>
        <v>0.70847745542782481</v>
      </c>
    </row>
    <row r="15" spans="1:19">
      <c r="A15" s="11"/>
      <c r="B15" s="12">
        <v>23.75</v>
      </c>
      <c r="C15" s="12">
        <v>24.34</v>
      </c>
      <c r="D15" s="24">
        <v>28.13</v>
      </c>
      <c r="E15" s="19">
        <f t="shared" si="0"/>
        <v>3.7899999999999991</v>
      </c>
      <c r="F15" s="19">
        <f t="shared" si="1"/>
        <v>7.2293011494080517E-2</v>
      </c>
      <c r="G15" s="20">
        <f t="shared" si="2"/>
        <v>1.4458602298816103</v>
      </c>
      <c r="I15" s="11"/>
      <c r="J15" s="12">
        <v>23.25</v>
      </c>
      <c r="K15" s="12">
        <v>23.34</v>
      </c>
      <c r="L15" s="27">
        <v>29.14</v>
      </c>
      <c r="M15" s="19">
        <f t="shared" si="6"/>
        <v>5.8000000000000007</v>
      </c>
      <c r="N15" s="19">
        <f t="shared" si="4"/>
        <v>1.7948411796828663E-2</v>
      </c>
      <c r="O15" s="20">
        <f t="shared" si="7"/>
        <v>0.35896823593657323</v>
      </c>
      <c r="P15" s="28"/>
      <c r="R15" t="s">
        <v>391</v>
      </c>
      <c r="S15">
        <f>_xlfn.T.TEST(G7:G9,G13:G15,2,2)</f>
        <v>9.3098952818526006E-3</v>
      </c>
    </row>
    <row r="16" spans="1:19">
      <c r="A16" s="18" t="s">
        <v>107</v>
      </c>
      <c r="B16" s="12">
        <v>24.31</v>
      </c>
      <c r="C16" s="12">
        <v>25.02</v>
      </c>
      <c r="D16" s="24">
        <v>28.759999999999998</v>
      </c>
      <c r="E16" s="19">
        <f t="shared" si="0"/>
        <v>3.7399999999999984</v>
      </c>
      <c r="F16" s="19">
        <f t="shared" si="1"/>
        <v>7.4842419038683147E-2</v>
      </c>
      <c r="G16" s="20">
        <f t="shared" si="2"/>
        <v>1.496848380773663</v>
      </c>
      <c r="I16" s="18" t="s">
        <v>107</v>
      </c>
      <c r="J16" s="12">
        <v>23.81</v>
      </c>
      <c r="K16" s="12">
        <v>24.02</v>
      </c>
      <c r="L16" s="27">
        <v>30.15</v>
      </c>
      <c r="M16" s="19">
        <f t="shared" si="6"/>
        <v>6.129999999999999</v>
      </c>
      <c r="N16" s="19">
        <f t="shared" si="4"/>
        <v>1.4278616409834391E-2</v>
      </c>
      <c r="O16" s="20">
        <f t="shared" si="7"/>
        <v>0.28557232819668782</v>
      </c>
      <c r="P16" s="28"/>
      <c r="R16" t="s">
        <v>388</v>
      </c>
      <c r="S16">
        <f>_xlfn.T.TEST(G16:G18,G19:G21,2,2)</f>
        <v>3.0469876968085582E-5</v>
      </c>
    </row>
    <row r="17" spans="1:16">
      <c r="A17" s="11"/>
      <c r="B17" s="12">
        <v>24.51</v>
      </c>
      <c r="C17" s="12">
        <v>25.02</v>
      </c>
      <c r="D17" s="24">
        <v>28.68</v>
      </c>
      <c r="E17" s="19">
        <f t="shared" si="0"/>
        <v>3.66</v>
      </c>
      <c r="F17" s="19">
        <f t="shared" si="1"/>
        <v>7.9109787123142497E-2</v>
      </c>
      <c r="G17" s="20">
        <f t="shared" si="2"/>
        <v>1.5821957424628499</v>
      </c>
      <c r="I17" s="11"/>
      <c r="J17" s="12">
        <v>24.01</v>
      </c>
      <c r="K17" s="12">
        <v>24.02</v>
      </c>
      <c r="L17" s="27">
        <v>30.28</v>
      </c>
      <c r="M17" s="19">
        <f t="shared" si="6"/>
        <v>6.2600000000000016</v>
      </c>
      <c r="N17" s="19">
        <f t="shared" si="4"/>
        <v>1.3048248741068256E-2</v>
      </c>
      <c r="O17" s="20">
        <f t="shared" si="7"/>
        <v>0.2609649748213651</v>
      </c>
      <c r="P17" s="28"/>
    </row>
    <row r="18" spans="1:16">
      <c r="A18" s="11"/>
      <c r="B18" s="12">
        <v>24.75</v>
      </c>
      <c r="C18" s="12">
        <v>25.02</v>
      </c>
      <c r="D18" s="24">
        <v>28.75</v>
      </c>
      <c r="E18" s="19">
        <f t="shared" si="0"/>
        <v>3.7300000000000004</v>
      </c>
      <c r="F18" s="19">
        <f t="shared" si="1"/>
        <v>7.5362989230672514E-2</v>
      </c>
      <c r="G18" s="20">
        <f t="shared" si="2"/>
        <v>1.5072597846134503</v>
      </c>
      <c r="I18" s="11"/>
      <c r="J18" s="12">
        <v>24.25</v>
      </c>
      <c r="K18" s="12">
        <v>24.02</v>
      </c>
      <c r="L18" s="27">
        <v>30.439999999999998</v>
      </c>
      <c r="M18" s="19">
        <f t="shared" si="6"/>
        <v>6.4199999999999982</v>
      </c>
      <c r="N18" s="19">
        <f t="shared" si="4"/>
        <v>1.1678509754960474E-2</v>
      </c>
      <c r="O18" s="20">
        <f t="shared" si="7"/>
        <v>0.23357019509920948</v>
      </c>
      <c r="P18" s="28"/>
    </row>
    <row r="19" spans="1:16">
      <c r="A19" s="18" t="s">
        <v>108</v>
      </c>
      <c r="B19" s="12">
        <v>24.78</v>
      </c>
      <c r="C19" s="12">
        <v>25.23</v>
      </c>
      <c r="D19" s="24">
        <v>30.619999999999997</v>
      </c>
      <c r="E19" s="19">
        <f t="shared" si="0"/>
        <v>5.389999999999997</v>
      </c>
      <c r="F19" s="19">
        <f t="shared" si="1"/>
        <v>2.3847800140008785E-2</v>
      </c>
      <c r="G19" s="20">
        <f t="shared" si="2"/>
        <v>0.47695600280017569</v>
      </c>
      <c r="I19" s="18" t="s">
        <v>108</v>
      </c>
      <c r="J19" s="12">
        <v>24.28</v>
      </c>
      <c r="K19" s="12">
        <v>24.23</v>
      </c>
      <c r="L19" s="27">
        <v>30.71</v>
      </c>
      <c r="M19" s="19">
        <f t="shared" si="6"/>
        <v>6.48</v>
      </c>
      <c r="N19" s="19">
        <f t="shared" si="4"/>
        <v>1.1202775375123653E-2</v>
      </c>
      <c r="O19" s="20">
        <f t="shared" si="7"/>
        <v>0.22405550750247305</v>
      </c>
      <c r="P19" s="28"/>
    </row>
    <row r="20" spans="1:16">
      <c r="A20" s="11"/>
      <c r="B20" s="12">
        <v>24.83</v>
      </c>
      <c r="C20" s="12">
        <v>25.23</v>
      </c>
      <c r="D20" s="24">
        <v>30.270000000000003</v>
      </c>
      <c r="E20" s="19">
        <f t="shared" si="0"/>
        <v>5.0400000000000027</v>
      </c>
      <c r="F20" s="19">
        <f t="shared" si="1"/>
        <v>3.0395467106633864E-2</v>
      </c>
      <c r="G20" s="20">
        <f t="shared" si="2"/>
        <v>0.60790934213267733</v>
      </c>
      <c r="I20" s="11"/>
      <c r="J20" s="12">
        <v>24.33</v>
      </c>
      <c r="K20" s="12">
        <v>24.23</v>
      </c>
      <c r="L20" s="27">
        <v>31.89</v>
      </c>
      <c r="M20" s="19">
        <f t="shared" si="6"/>
        <v>7.66</v>
      </c>
      <c r="N20" s="19">
        <f t="shared" si="4"/>
        <v>4.9443616951964078E-3</v>
      </c>
      <c r="O20" s="20">
        <f t="shared" si="7"/>
        <v>9.8887233903928159E-2</v>
      </c>
      <c r="P20" s="28"/>
    </row>
    <row r="21" spans="1:16" ht="15.75" thickBot="1">
      <c r="A21" s="21"/>
      <c r="B21" s="22">
        <v>24.59</v>
      </c>
      <c r="C21" s="22">
        <v>25.23</v>
      </c>
      <c r="D21" s="25">
        <v>30.39</v>
      </c>
      <c r="E21" s="23">
        <f t="shared" si="0"/>
        <v>5.16</v>
      </c>
      <c r="F21" s="23">
        <f t="shared" si="1"/>
        <v>2.7969533466499143E-2</v>
      </c>
      <c r="G21" s="26">
        <f t="shared" si="2"/>
        <v>0.55939066932998283</v>
      </c>
      <c r="I21" s="21"/>
      <c r="J21" s="22">
        <v>24.09</v>
      </c>
      <c r="K21" s="22">
        <v>24.23</v>
      </c>
      <c r="L21" s="29">
        <v>30.4</v>
      </c>
      <c r="M21" s="23">
        <f t="shared" si="6"/>
        <v>6.1699999999999982</v>
      </c>
      <c r="N21" s="23">
        <f t="shared" si="4"/>
        <v>1.3888166893227675E-2</v>
      </c>
      <c r="O21" s="26">
        <f>N21*20</f>
        <v>0.27776333786455348</v>
      </c>
      <c r="P21" s="28"/>
    </row>
    <row r="22" spans="1:16">
      <c r="P22" s="28"/>
    </row>
    <row r="23" spans="1:16" ht="15.75" thickBot="1">
      <c r="I23" s="12"/>
      <c r="J23" s="12"/>
      <c r="K23" s="12"/>
      <c r="L23" s="12"/>
      <c r="M23" s="12"/>
      <c r="N23" s="12"/>
      <c r="O23" s="12"/>
      <c r="P23" s="28"/>
    </row>
    <row r="24" spans="1:16">
      <c r="A24" s="6"/>
      <c r="B24" s="7"/>
      <c r="C24" s="7"/>
      <c r="D24" s="7"/>
      <c r="E24" s="8"/>
      <c r="F24" s="9"/>
      <c r="G24" s="10" t="s">
        <v>95</v>
      </c>
      <c r="I24" s="6"/>
      <c r="J24" s="7"/>
      <c r="K24" s="7"/>
      <c r="L24" s="7"/>
      <c r="M24" s="8"/>
      <c r="N24" s="9"/>
      <c r="O24" s="10" t="s">
        <v>95</v>
      </c>
      <c r="P24" s="28"/>
    </row>
    <row r="25" spans="1:16">
      <c r="A25" s="11"/>
      <c r="B25" s="12" t="s">
        <v>513</v>
      </c>
      <c r="C25" s="12"/>
      <c r="D25" s="12"/>
      <c r="E25" s="13"/>
      <c r="F25" s="14" t="s">
        <v>97</v>
      </c>
      <c r="G25" s="15">
        <v>20</v>
      </c>
      <c r="I25" s="11"/>
      <c r="J25" s="12"/>
      <c r="K25" s="12" t="s">
        <v>109</v>
      </c>
      <c r="L25" s="12"/>
      <c r="M25" s="13"/>
      <c r="N25" s="14" t="s">
        <v>97</v>
      </c>
      <c r="O25" s="15">
        <v>20</v>
      </c>
      <c r="P25" s="28"/>
    </row>
    <row r="26" spans="1:16">
      <c r="A26" s="11"/>
      <c r="B26" s="12" t="s">
        <v>99</v>
      </c>
      <c r="C26" s="12" t="s">
        <v>100</v>
      </c>
      <c r="D26" s="12" t="s">
        <v>385</v>
      </c>
      <c r="E26" s="16" t="s">
        <v>386</v>
      </c>
      <c r="F26" s="12" t="s">
        <v>385</v>
      </c>
      <c r="G26" s="17" t="s">
        <v>385</v>
      </c>
      <c r="I26" s="11"/>
      <c r="J26" s="12" t="s">
        <v>99</v>
      </c>
      <c r="K26" s="12" t="s">
        <v>100</v>
      </c>
      <c r="L26" s="12" t="s">
        <v>385</v>
      </c>
      <c r="M26" s="16" t="s">
        <v>386</v>
      </c>
      <c r="N26" s="12" t="s">
        <v>385</v>
      </c>
      <c r="O26" s="17" t="s">
        <v>385</v>
      </c>
      <c r="P26" s="28"/>
    </row>
    <row r="27" spans="1:16">
      <c r="A27" s="18" t="s">
        <v>104</v>
      </c>
      <c r="B27" s="12">
        <v>24.1</v>
      </c>
      <c r="C27" s="12">
        <v>24.66</v>
      </c>
      <c r="D27" s="27">
        <v>28.81</v>
      </c>
      <c r="E27" s="19">
        <f>D27-C27</f>
        <v>4.1499999999999986</v>
      </c>
      <c r="F27" s="19">
        <f>1/(2^E27)</f>
        <v>5.6328153913176943E-2</v>
      </c>
      <c r="G27" s="20">
        <f>F27*20</f>
        <v>1.1265630782635387</v>
      </c>
      <c r="I27" s="18" t="s">
        <v>104</v>
      </c>
      <c r="J27" s="12">
        <v>23.6</v>
      </c>
      <c r="K27" s="12">
        <v>23.66</v>
      </c>
      <c r="L27" s="27">
        <v>30.78</v>
      </c>
      <c r="M27" s="19">
        <f>L27-K27</f>
        <v>7.120000000000001</v>
      </c>
      <c r="N27" s="19">
        <f>1/(2^M27)</f>
        <v>7.1889660205068347E-3</v>
      </c>
      <c r="O27" s="20">
        <f>N27*20</f>
        <v>0.14377932041013669</v>
      </c>
      <c r="P27" s="28"/>
    </row>
    <row r="28" spans="1:16">
      <c r="A28" s="11"/>
      <c r="B28" s="12">
        <v>24.01</v>
      </c>
      <c r="C28" s="12">
        <v>24.66</v>
      </c>
      <c r="D28" s="27">
        <v>29.02</v>
      </c>
      <c r="E28" s="19">
        <f t="shared" ref="E28:E41" si="8">D28-C28</f>
        <v>4.3599999999999994</v>
      </c>
      <c r="F28" s="19">
        <f t="shared" ref="F28:F41" si="9">1/(2^E28)</f>
        <v>4.8697786228781272E-2</v>
      </c>
      <c r="G28" s="20">
        <f t="shared" ref="G28:G34" si="10">F28*20</f>
        <v>0.9739557245756254</v>
      </c>
      <c r="I28" s="11"/>
      <c r="J28" s="12">
        <v>23.51</v>
      </c>
      <c r="K28" s="12">
        <v>23.66</v>
      </c>
      <c r="L28" s="27">
        <v>30.770000000000003</v>
      </c>
      <c r="M28" s="19">
        <f t="shared" ref="M28:M41" si="11">L28-K28</f>
        <v>7.110000000000003</v>
      </c>
      <c r="N28" s="19">
        <f t="shared" ref="N28:N41" si="12">1/(2^M28)</f>
        <v>7.2389692335185106E-3</v>
      </c>
      <c r="O28" s="20">
        <f t="shared" ref="O28:O34" si="13">N28*20</f>
        <v>0.14477938467037021</v>
      </c>
      <c r="P28" s="28"/>
    </row>
    <row r="29" spans="1:16">
      <c r="A29" s="11"/>
      <c r="B29" s="12">
        <v>24.37</v>
      </c>
      <c r="C29" s="12">
        <v>24.66</v>
      </c>
      <c r="D29" s="27">
        <v>29.04</v>
      </c>
      <c r="E29" s="19">
        <f t="shared" si="8"/>
        <v>4.379999999999999</v>
      </c>
      <c r="F29" s="19">
        <f t="shared" si="9"/>
        <v>4.8027349415250414E-2</v>
      </c>
      <c r="G29" s="20">
        <f t="shared" si="10"/>
        <v>0.96054698830500829</v>
      </c>
      <c r="I29" s="11"/>
      <c r="J29" s="12">
        <v>23.87</v>
      </c>
      <c r="K29" s="12">
        <v>23.66</v>
      </c>
      <c r="L29" s="27">
        <v>31.590000000000003</v>
      </c>
      <c r="M29" s="19">
        <f t="shared" si="11"/>
        <v>7.9300000000000033</v>
      </c>
      <c r="N29" s="19">
        <f t="shared" si="12"/>
        <v>4.1004557954025965E-3</v>
      </c>
      <c r="O29" s="20">
        <f t="shared" si="13"/>
        <v>8.2009115908051933E-2</v>
      </c>
      <c r="P29" s="28"/>
    </row>
    <row r="30" spans="1:16">
      <c r="A30" s="18" t="s">
        <v>105</v>
      </c>
      <c r="B30" s="12">
        <v>24.35</v>
      </c>
      <c r="C30" s="12">
        <v>24.74</v>
      </c>
      <c r="D30" s="27">
        <v>28.94</v>
      </c>
      <c r="E30" s="19">
        <f t="shared" si="8"/>
        <v>4.2000000000000028</v>
      </c>
      <c r="F30" s="19">
        <f t="shared" si="9"/>
        <v>5.4409410206007668E-2</v>
      </c>
      <c r="G30" s="20">
        <f t="shared" si="10"/>
        <v>1.0881882041201534</v>
      </c>
      <c r="I30" s="18" t="s">
        <v>105</v>
      </c>
      <c r="J30" s="12">
        <v>23.85</v>
      </c>
      <c r="K30" s="12">
        <v>23.74</v>
      </c>
      <c r="L30" s="27">
        <v>31.880000000000003</v>
      </c>
      <c r="M30" s="19">
        <f t="shared" si="11"/>
        <v>8.1400000000000041</v>
      </c>
      <c r="N30" s="19">
        <f t="shared" si="12"/>
        <v>3.5449967004576506E-3</v>
      </c>
      <c r="O30" s="20">
        <f t="shared" si="13"/>
        <v>7.0899934009153009E-2</v>
      </c>
      <c r="P30" s="28"/>
    </row>
    <row r="31" spans="1:16">
      <c r="A31" s="11"/>
      <c r="B31" s="12">
        <v>24.41</v>
      </c>
      <c r="C31" s="12">
        <v>24.74</v>
      </c>
      <c r="D31" s="27">
        <v>29.27</v>
      </c>
      <c r="E31" s="19">
        <f t="shared" si="8"/>
        <v>4.5300000000000011</v>
      </c>
      <c r="F31" s="19">
        <f t="shared" si="9"/>
        <v>4.3284670878466366E-2</v>
      </c>
      <c r="G31" s="20">
        <f t="shared" si="10"/>
        <v>0.86569341756932738</v>
      </c>
      <c r="I31" s="11"/>
      <c r="J31" s="12">
        <v>23.91</v>
      </c>
      <c r="K31" s="12">
        <v>23.74</v>
      </c>
      <c r="L31" s="27">
        <v>32.35</v>
      </c>
      <c r="M31" s="19">
        <f t="shared" si="11"/>
        <v>8.610000000000003</v>
      </c>
      <c r="N31" s="19">
        <f t="shared" si="12"/>
        <v>2.5593621169108611E-3</v>
      </c>
      <c r="O31" s="20">
        <f t="shared" si="13"/>
        <v>5.1187242338217226E-2</v>
      </c>
      <c r="P31" s="28"/>
    </row>
    <row r="32" spans="1:16">
      <c r="A32" s="11"/>
      <c r="B32" s="12">
        <v>23.96</v>
      </c>
      <c r="C32" s="12">
        <v>24.74</v>
      </c>
      <c r="D32" s="27">
        <v>29.09</v>
      </c>
      <c r="E32" s="19">
        <f t="shared" si="8"/>
        <v>4.3500000000000014</v>
      </c>
      <c r="F32" s="19">
        <f t="shared" si="9"/>
        <v>4.9036506118546881E-2</v>
      </c>
      <c r="G32" s="20">
        <f t="shared" si="10"/>
        <v>0.9807301223709376</v>
      </c>
      <c r="I32" s="11"/>
      <c r="J32" s="12">
        <v>23.46</v>
      </c>
      <c r="K32" s="12">
        <v>23.74</v>
      </c>
      <c r="L32" s="27">
        <v>32.17</v>
      </c>
      <c r="M32" s="19">
        <f t="shared" si="11"/>
        <v>8.4300000000000033</v>
      </c>
      <c r="N32" s="19">
        <f t="shared" si="12"/>
        <v>2.8994600988848543E-3</v>
      </c>
      <c r="O32" s="20">
        <f t="shared" si="13"/>
        <v>5.7989201977697087E-2</v>
      </c>
      <c r="P32" s="28"/>
    </row>
    <row r="33" spans="1:19">
      <c r="A33" s="18" t="s">
        <v>106</v>
      </c>
      <c r="B33" s="12">
        <v>24.65</v>
      </c>
      <c r="C33" s="12">
        <v>24.99</v>
      </c>
      <c r="D33" s="27">
        <v>30.24</v>
      </c>
      <c r="E33" s="19">
        <f t="shared" si="8"/>
        <v>5.25</v>
      </c>
      <c r="F33" s="19">
        <f t="shared" si="9"/>
        <v>2.6278012976678582E-2</v>
      </c>
      <c r="G33" s="20">
        <f t="shared" si="10"/>
        <v>0.52556025953357166</v>
      </c>
      <c r="I33" s="18" t="s">
        <v>106</v>
      </c>
      <c r="J33" s="12">
        <v>24.15</v>
      </c>
      <c r="K33" s="12">
        <v>23.99</v>
      </c>
      <c r="L33" s="27">
        <v>32.21</v>
      </c>
      <c r="M33" s="19">
        <f t="shared" si="11"/>
        <v>8.2200000000000024</v>
      </c>
      <c r="N33" s="19">
        <f t="shared" si="12"/>
        <v>3.3537712360849712E-3</v>
      </c>
      <c r="O33" s="20">
        <f t="shared" si="13"/>
        <v>6.7075424721699417E-2</v>
      </c>
      <c r="P33" s="28"/>
    </row>
    <row r="34" spans="1:19">
      <c r="A34" s="11"/>
      <c r="B34" s="12">
        <v>24.33</v>
      </c>
      <c r="C34" s="12">
        <v>24.99</v>
      </c>
      <c r="D34" s="27">
        <v>30.13</v>
      </c>
      <c r="E34" s="19">
        <f t="shared" si="8"/>
        <v>5.1400000000000006</v>
      </c>
      <c r="F34" s="19">
        <f t="shared" si="9"/>
        <v>2.835997360366127E-2</v>
      </c>
      <c r="G34" s="20">
        <f t="shared" si="10"/>
        <v>0.56719947207322541</v>
      </c>
      <c r="I34" s="11"/>
      <c r="J34" s="12">
        <v>23.83</v>
      </c>
      <c r="K34" s="12">
        <v>23.99</v>
      </c>
      <c r="L34" s="27">
        <v>30.810000000000002</v>
      </c>
      <c r="M34" s="19">
        <f t="shared" si="11"/>
        <v>6.8200000000000038</v>
      </c>
      <c r="N34" s="19">
        <f t="shared" si="12"/>
        <v>8.8506553538734017E-3</v>
      </c>
      <c r="O34" s="20">
        <f t="shared" si="13"/>
        <v>0.17701310707746803</v>
      </c>
      <c r="P34" s="28"/>
      <c r="Q34" t="s">
        <v>20</v>
      </c>
      <c r="R34" t="s">
        <v>387</v>
      </c>
      <c r="S34">
        <f>_xlfn.T.TEST(G27:G29,G30:G32,2,2)</f>
        <v>0.63999606802113829</v>
      </c>
    </row>
    <row r="35" spans="1:19">
      <c r="A35" s="11"/>
      <c r="B35" s="12">
        <v>24.49</v>
      </c>
      <c r="C35" s="12">
        <v>24.99</v>
      </c>
      <c r="D35" s="27">
        <v>30.59</v>
      </c>
      <c r="E35" s="19">
        <f t="shared" si="8"/>
        <v>5.6000000000000014</v>
      </c>
      <c r="F35" s="19">
        <f t="shared" si="9"/>
        <v>2.0617311105826455E-2</v>
      </c>
      <c r="G35" s="20">
        <f>F35*20</f>
        <v>0.4123462221165291</v>
      </c>
      <c r="I35" s="11"/>
      <c r="J35" s="12">
        <v>23.99</v>
      </c>
      <c r="K35" s="12">
        <v>23.99</v>
      </c>
      <c r="L35" s="27">
        <v>31.65</v>
      </c>
      <c r="M35" s="19">
        <f t="shared" si="11"/>
        <v>7.66</v>
      </c>
      <c r="N35" s="19">
        <f t="shared" si="12"/>
        <v>4.9443616951964078E-3</v>
      </c>
      <c r="O35" s="20">
        <f>N35*20</f>
        <v>9.8887233903928159E-2</v>
      </c>
      <c r="P35" s="28"/>
      <c r="R35" t="s">
        <v>391</v>
      </c>
      <c r="S35">
        <f>_xlfn.T.TEST(G27:G29,G33:G35,2,2)</f>
        <v>1.8221874856925717E-3</v>
      </c>
    </row>
    <row r="36" spans="1:19">
      <c r="A36" s="18" t="s">
        <v>107</v>
      </c>
      <c r="B36" s="12">
        <v>24.63</v>
      </c>
      <c r="C36" s="12">
        <v>25.39</v>
      </c>
      <c r="D36" s="27">
        <v>30.76</v>
      </c>
      <c r="E36" s="19">
        <f t="shared" si="8"/>
        <v>5.370000000000001</v>
      </c>
      <c r="F36" s="19">
        <f t="shared" si="9"/>
        <v>2.4180703024099828E-2</v>
      </c>
      <c r="G36" s="20">
        <f t="shared" ref="G36:G41" si="14">F36*20</f>
        <v>0.48361406048199657</v>
      </c>
      <c r="I36" s="18" t="s">
        <v>107</v>
      </c>
      <c r="J36" s="12">
        <v>24.13</v>
      </c>
      <c r="K36" s="12">
        <v>24.39</v>
      </c>
      <c r="L36" s="27">
        <v>32.39</v>
      </c>
      <c r="M36" s="19">
        <f t="shared" si="11"/>
        <v>8</v>
      </c>
      <c r="N36" s="19">
        <f t="shared" si="12"/>
        <v>3.90625E-3</v>
      </c>
      <c r="O36" s="20">
        <f t="shared" ref="O36:O41" si="15">N36*20</f>
        <v>7.8125E-2</v>
      </c>
      <c r="P36" s="28"/>
      <c r="R36" t="s">
        <v>388</v>
      </c>
      <c r="S36">
        <f>_xlfn.T.TEST(G36:G38,G39:G41,2,2)</f>
        <v>2.3993296518280482E-4</v>
      </c>
    </row>
    <row r="37" spans="1:19">
      <c r="A37" s="11"/>
      <c r="B37" s="12">
        <v>25.31</v>
      </c>
      <c r="C37" s="12">
        <v>25.39</v>
      </c>
      <c r="D37" s="27">
        <v>30.970000000000002</v>
      </c>
      <c r="E37" s="19">
        <f t="shared" si="8"/>
        <v>5.5800000000000018</v>
      </c>
      <c r="F37" s="19">
        <f t="shared" si="9"/>
        <v>2.0905118043532976E-2</v>
      </c>
      <c r="G37" s="20">
        <f t="shared" si="14"/>
        <v>0.41810236087065955</v>
      </c>
      <c r="I37" s="11"/>
      <c r="J37" s="12">
        <v>24.81</v>
      </c>
      <c r="K37" s="12">
        <v>24.39</v>
      </c>
      <c r="L37" s="27">
        <v>33.040000000000006</v>
      </c>
      <c r="M37" s="19">
        <f t="shared" si="11"/>
        <v>8.6500000000000057</v>
      </c>
      <c r="N37" s="19">
        <f t="shared" si="12"/>
        <v>2.4893762252329241E-3</v>
      </c>
      <c r="O37" s="20">
        <f t="shared" si="15"/>
        <v>4.9787524504658481E-2</v>
      </c>
      <c r="P37" s="28"/>
    </row>
    <row r="38" spans="1:19">
      <c r="A38" s="11"/>
      <c r="B38" s="12">
        <v>24.73</v>
      </c>
      <c r="C38" s="12">
        <v>25.39</v>
      </c>
      <c r="D38" s="27">
        <v>30.720000000000002</v>
      </c>
      <c r="E38" s="19">
        <f t="shared" si="8"/>
        <v>5.3300000000000018</v>
      </c>
      <c r="F38" s="19">
        <f t="shared" si="9"/>
        <v>2.4860515117341178E-2</v>
      </c>
      <c r="G38" s="20">
        <f>F38*20</f>
        <v>0.49721030234682356</v>
      </c>
      <c r="I38" s="11"/>
      <c r="J38" s="12">
        <v>24.23</v>
      </c>
      <c r="K38" s="12">
        <v>24.39</v>
      </c>
      <c r="L38" s="27">
        <v>32.760000000000005</v>
      </c>
      <c r="M38" s="19">
        <f t="shared" si="11"/>
        <v>8.3700000000000045</v>
      </c>
      <c r="N38" s="19">
        <f t="shared" si="12"/>
        <v>3.0225878780124724E-3</v>
      </c>
      <c r="O38" s="20">
        <f t="shared" si="15"/>
        <v>6.0451757560249446E-2</v>
      </c>
      <c r="P38" s="28"/>
    </row>
    <row r="39" spans="1:19">
      <c r="A39" s="18" t="s">
        <v>108</v>
      </c>
      <c r="B39" s="12">
        <v>24.62</v>
      </c>
      <c r="C39" s="12">
        <v>25.16</v>
      </c>
      <c r="D39" s="27">
        <v>32.175000000000004</v>
      </c>
      <c r="E39" s="19">
        <f t="shared" si="8"/>
        <v>7.0150000000000041</v>
      </c>
      <c r="F39" s="19">
        <f t="shared" si="9"/>
        <v>7.7316926282437852E-3</v>
      </c>
      <c r="G39" s="20">
        <f t="shared" si="14"/>
        <v>0.15463385256487572</v>
      </c>
      <c r="I39" s="18" t="s">
        <v>108</v>
      </c>
      <c r="J39" s="12">
        <v>24.42</v>
      </c>
      <c r="K39" s="12">
        <v>24.42</v>
      </c>
      <c r="L39" s="27">
        <v>32.92</v>
      </c>
      <c r="M39" s="19">
        <f t="shared" si="11"/>
        <v>8.5</v>
      </c>
      <c r="N39" s="19">
        <f t="shared" si="12"/>
        <v>2.7621358640099515E-3</v>
      </c>
      <c r="O39" s="20">
        <f t="shared" si="15"/>
        <v>5.5242717280199027E-2</v>
      </c>
      <c r="P39" s="28"/>
    </row>
    <row r="40" spans="1:19">
      <c r="A40" s="11"/>
      <c r="B40" s="12">
        <v>24.77</v>
      </c>
      <c r="C40" s="12">
        <v>25.16</v>
      </c>
      <c r="D40" s="27">
        <v>32.080000000000005</v>
      </c>
      <c r="E40" s="19">
        <f t="shared" si="8"/>
        <v>6.9200000000000053</v>
      </c>
      <c r="F40" s="19">
        <f t="shared" si="9"/>
        <v>8.2579534418857521E-3</v>
      </c>
      <c r="G40" s="20">
        <f t="shared" si="14"/>
        <v>0.16515906883771503</v>
      </c>
      <c r="I40" s="11"/>
      <c r="J40" s="12">
        <v>24.27</v>
      </c>
      <c r="K40" s="12">
        <v>24.42</v>
      </c>
      <c r="L40" s="27">
        <v>32.67</v>
      </c>
      <c r="M40" s="19">
        <f t="shared" si="11"/>
        <v>8.25</v>
      </c>
      <c r="N40" s="19">
        <f t="shared" si="12"/>
        <v>3.2847516220848244E-3</v>
      </c>
      <c r="O40" s="20">
        <f t="shared" si="15"/>
        <v>6.5695032441696485E-2</v>
      </c>
      <c r="P40" s="28"/>
    </row>
    <row r="41" spans="1:19" ht="15.75" thickBot="1">
      <c r="A41" s="21"/>
      <c r="B41" s="22">
        <v>24.58</v>
      </c>
      <c r="C41" s="22">
        <v>25.16</v>
      </c>
      <c r="D41" s="29">
        <v>32.245000000000005</v>
      </c>
      <c r="E41" s="23">
        <f t="shared" si="8"/>
        <v>7.0850000000000044</v>
      </c>
      <c r="F41" s="23">
        <f t="shared" si="9"/>
        <v>7.3655041868612211E-3</v>
      </c>
      <c r="G41" s="26">
        <f t="shared" si="14"/>
        <v>0.14731008373722443</v>
      </c>
      <c r="I41" s="21"/>
      <c r="J41" s="22">
        <v>24.58</v>
      </c>
      <c r="K41" s="22">
        <v>24.42</v>
      </c>
      <c r="L41" s="29">
        <v>32.260000000000005</v>
      </c>
      <c r="M41" s="23">
        <f t="shared" si="11"/>
        <v>7.8400000000000034</v>
      </c>
      <c r="N41" s="23">
        <f t="shared" si="12"/>
        <v>4.3644028830946016E-3</v>
      </c>
      <c r="O41" s="26">
        <f t="shared" si="15"/>
        <v>8.728805766189203E-2</v>
      </c>
      <c r="P41" s="2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zoomScale="85" zoomScaleNormal="85" workbookViewId="0"/>
  </sheetViews>
  <sheetFormatPr defaultRowHeight="15"/>
  <cols>
    <col min="1" max="1" width="19.28515625" customWidth="1"/>
    <col min="2" max="2" width="10.28515625" customWidth="1"/>
    <col min="3" max="3" width="12.140625" customWidth="1"/>
    <col min="5" max="5" width="9.140625" style="12"/>
    <col min="6" max="6" width="11.42578125" customWidth="1"/>
    <col min="7" max="7" width="29.140625" customWidth="1"/>
    <col min="8" max="8" width="11.5703125" customWidth="1"/>
  </cols>
  <sheetData>
    <row r="1" spans="1:12" ht="15.75">
      <c r="A1" s="75" t="s">
        <v>525</v>
      </c>
    </row>
    <row r="3" spans="1:12">
      <c r="A3" s="59" t="s">
        <v>484</v>
      </c>
      <c r="B3" s="57" t="s">
        <v>393</v>
      </c>
      <c r="C3" s="57" t="s">
        <v>249</v>
      </c>
      <c r="D3" s="58" t="s">
        <v>394</v>
      </c>
      <c r="E3" s="58" t="s">
        <v>394</v>
      </c>
      <c r="G3" s="59" t="s">
        <v>483</v>
      </c>
      <c r="H3" s="5" t="s">
        <v>395</v>
      </c>
      <c r="I3" s="57" t="s">
        <v>393</v>
      </c>
      <c r="J3" s="57" t="s">
        <v>249</v>
      </c>
      <c r="K3" s="57" t="s">
        <v>394</v>
      </c>
      <c r="L3" s="58" t="s">
        <v>394</v>
      </c>
    </row>
    <row r="4" spans="1:12">
      <c r="A4" s="60" t="s">
        <v>398</v>
      </c>
      <c r="B4" s="60">
        <v>2</v>
      </c>
      <c r="C4" s="60">
        <v>75</v>
      </c>
      <c r="D4" s="61">
        <f>B4*C4</f>
        <v>150</v>
      </c>
      <c r="E4" s="12">
        <f>D4*0.01</f>
        <v>1.5</v>
      </c>
      <c r="G4" s="60" t="s">
        <v>398</v>
      </c>
      <c r="H4" s="5" t="s">
        <v>396</v>
      </c>
      <c r="I4" s="60">
        <v>2</v>
      </c>
      <c r="J4" s="60">
        <v>100</v>
      </c>
      <c r="K4" s="60">
        <f t="shared" ref="K4:K15" si="0">I4*J4</f>
        <v>200</v>
      </c>
      <c r="L4" s="12">
        <f>K4*0.01</f>
        <v>2</v>
      </c>
    </row>
    <row r="5" spans="1:12">
      <c r="A5" s="60" t="s">
        <v>399</v>
      </c>
      <c r="B5" s="60">
        <v>2</v>
      </c>
      <c r="C5" s="60">
        <v>80</v>
      </c>
      <c r="D5" s="61">
        <f t="shared" ref="D5:D68" si="1">B5*C5</f>
        <v>160</v>
      </c>
      <c r="E5" s="12">
        <f t="shared" ref="E5:E68" si="2">D5*0.01</f>
        <v>1.6</v>
      </c>
      <c r="G5" s="60" t="s">
        <v>399</v>
      </c>
      <c r="H5" s="5" t="s">
        <v>397</v>
      </c>
      <c r="I5" s="60">
        <v>1</v>
      </c>
      <c r="J5" s="60">
        <v>80</v>
      </c>
      <c r="K5" s="60">
        <f t="shared" si="0"/>
        <v>80</v>
      </c>
      <c r="L5" s="12">
        <f t="shared" ref="L5:L14" si="3">K5*0.01</f>
        <v>0.8</v>
      </c>
    </row>
    <row r="6" spans="1:12">
      <c r="A6" s="60" t="s">
        <v>400</v>
      </c>
      <c r="B6" s="60">
        <v>1</v>
      </c>
      <c r="C6" s="60">
        <v>60</v>
      </c>
      <c r="D6" s="61">
        <f t="shared" si="1"/>
        <v>60</v>
      </c>
      <c r="E6" s="12">
        <f t="shared" si="2"/>
        <v>0.6</v>
      </c>
      <c r="G6" s="60" t="s">
        <v>400</v>
      </c>
      <c r="H6" s="5" t="s">
        <v>397</v>
      </c>
      <c r="I6" s="60">
        <v>2</v>
      </c>
      <c r="J6" s="60">
        <v>100</v>
      </c>
      <c r="K6" s="60">
        <f t="shared" si="0"/>
        <v>200</v>
      </c>
      <c r="L6" s="12">
        <f t="shared" si="3"/>
        <v>2</v>
      </c>
    </row>
    <row r="7" spans="1:12">
      <c r="A7" s="60" t="s">
        <v>401</v>
      </c>
      <c r="B7" s="60">
        <v>2</v>
      </c>
      <c r="C7" s="60">
        <v>60</v>
      </c>
      <c r="D7" s="61">
        <f t="shared" si="1"/>
        <v>120</v>
      </c>
      <c r="E7" s="12">
        <f t="shared" si="2"/>
        <v>1.2</v>
      </c>
      <c r="G7" s="60" t="s">
        <v>401</v>
      </c>
      <c r="H7" s="5" t="s">
        <v>397</v>
      </c>
      <c r="I7" s="60">
        <v>3</v>
      </c>
      <c r="J7" s="60">
        <v>80</v>
      </c>
      <c r="K7" s="60">
        <f t="shared" si="0"/>
        <v>240</v>
      </c>
      <c r="L7" s="12">
        <f t="shared" si="3"/>
        <v>2.4</v>
      </c>
    </row>
    <row r="8" spans="1:12">
      <c r="A8" s="60" t="s">
        <v>402</v>
      </c>
      <c r="B8" s="60">
        <v>1</v>
      </c>
      <c r="C8" s="60">
        <v>90</v>
      </c>
      <c r="D8" s="61">
        <f t="shared" si="1"/>
        <v>90</v>
      </c>
      <c r="E8" s="12">
        <f t="shared" si="2"/>
        <v>0.9</v>
      </c>
      <c r="G8" s="60" t="s">
        <v>402</v>
      </c>
      <c r="H8" s="5" t="s">
        <v>32</v>
      </c>
      <c r="I8" s="60">
        <v>2</v>
      </c>
      <c r="J8" s="60">
        <v>90</v>
      </c>
      <c r="K8" s="60">
        <f t="shared" si="0"/>
        <v>180</v>
      </c>
      <c r="L8" s="12">
        <f t="shared" si="3"/>
        <v>1.8</v>
      </c>
    </row>
    <row r="9" spans="1:12">
      <c r="A9" s="60" t="s">
        <v>403</v>
      </c>
      <c r="B9" s="60">
        <v>2</v>
      </c>
      <c r="C9" s="60">
        <v>70</v>
      </c>
      <c r="D9" s="61">
        <f t="shared" si="1"/>
        <v>140</v>
      </c>
      <c r="E9" s="12">
        <f t="shared" si="2"/>
        <v>1.4000000000000001</v>
      </c>
      <c r="G9" s="60" t="s">
        <v>403</v>
      </c>
      <c r="H9" s="5" t="s">
        <v>32</v>
      </c>
      <c r="I9" s="60">
        <v>3</v>
      </c>
      <c r="J9" s="60">
        <v>100</v>
      </c>
      <c r="K9" s="60">
        <f t="shared" si="0"/>
        <v>300</v>
      </c>
      <c r="L9" s="12">
        <f t="shared" si="3"/>
        <v>3</v>
      </c>
    </row>
    <row r="10" spans="1:12">
      <c r="A10" s="60" t="s">
        <v>404</v>
      </c>
      <c r="B10" s="60">
        <v>3</v>
      </c>
      <c r="C10" s="60">
        <v>50</v>
      </c>
      <c r="D10" s="61">
        <f t="shared" si="1"/>
        <v>150</v>
      </c>
      <c r="E10" s="12">
        <f t="shared" si="2"/>
        <v>1.5</v>
      </c>
      <c r="G10" s="60" t="s">
        <v>404</v>
      </c>
      <c r="H10" s="5" t="s">
        <v>32</v>
      </c>
      <c r="I10" s="60">
        <v>3</v>
      </c>
      <c r="J10" s="60">
        <v>80</v>
      </c>
      <c r="K10" s="60">
        <f t="shared" si="0"/>
        <v>240</v>
      </c>
      <c r="L10" s="12">
        <f t="shared" si="3"/>
        <v>2.4</v>
      </c>
    </row>
    <row r="11" spans="1:12">
      <c r="A11" s="60" t="s">
        <v>405</v>
      </c>
      <c r="B11" s="60">
        <v>2</v>
      </c>
      <c r="C11" s="60">
        <v>40</v>
      </c>
      <c r="D11" s="61">
        <f t="shared" si="1"/>
        <v>80</v>
      </c>
      <c r="E11" s="12">
        <f t="shared" si="2"/>
        <v>0.8</v>
      </c>
      <c r="G11" s="60" t="s">
        <v>405</v>
      </c>
      <c r="H11" s="5" t="s">
        <v>397</v>
      </c>
      <c r="I11" s="60">
        <v>2</v>
      </c>
      <c r="J11" s="60">
        <v>100</v>
      </c>
      <c r="K11" s="60">
        <f t="shared" si="0"/>
        <v>200</v>
      </c>
      <c r="L11" s="12">
        <f t="shared" si="3"/>
        <v>2</v>
      </c>
    </row>
    <row r="12" spans="1:12">
      <c r="A12" s="60" t="s">
        <v>406</v>
      </c>
      <c r="B12" s="60">
        <v>1</v>
      </c>
      <c r="C12" s="60">
        <v>90</v>
      </c>
      <c r="D12" s="61">
        <f t="shared" si="1"/>
        <v>90</v>
      </c>
      <c r="E12" s="12">
        <f t="shared" si="2"/>
        <v>0.9</v>
      </c>
      <c r="G12" s="60" t="s">
        <v>406</v>
      </c>
      <c r="H12" s="5" t="s">
        <v>32</v>
      </c>
      <c r="I12" s="60">
        <v>2</v>
      </c>
      <c r="J12" s="60">
        <v>90</v>
      </c>
      <c r="K12" s="60">
        <f t="shared" si="0"/>
        <v>180</v>
      </c>
      <c r="L12" s="12">
        <f t="shared" si="3"/>
        <v>1.8</v>
      </c>
    </row>
    <row r="13" spans="1:12">
      <c r="A13" s="60" t="s">
        <v>407</v>
      </c>
      <c r="B13" s="60">
        <v>2</v>
      </c>
      <c r="C13" s="60">
        <v>90</v>
      </c>
      <c r="D13" s="61">
        <f t="shared" si="1"/>
        <v>180</v>
      </c>
      <c r="E13" s="12">
        <f t="shared" si="2"/>
        <v>1.8</v>
      </c>
      <c r="G13" s="60" t="s">
        <v>407</v>
      </c>
      <c r="H13" s="5" t="s">
        <v>396</v>
      </c>
      <c r="I13" s="60">
        <v>1</v>
      </c>
      <c r="J13" s="60">
        <v>80</v>
      </c>
      <c r="K13" s="60">
        <f t="shared" si="0"/>
        <v>80</v>
      </c>
      <c r="L13" s="12">
        <f t="shared" si="3"/>
        <v>0.8</v>
      </c>
    </row>
    <row r="14" spans="1:12">
      <c r="A14" s="60" t="s">
        <v>408</v>
      </c>
      <c r="B14" s="60">
        <v>3</v>
      </c>
      <c r="C14" s="60">
        <v>50</v>
      </c>
      <c r="D14" s="61">
        <f t="shared" si="1"/>
        <v>150</v>
      </c>
      <c r="E14" s="12">
        <f t="shared" si="2"/>
        <v>1.5</v>
      </c>
      <c r="G14" s="60" t="s">
        <v>408</v>
      </c>
      <c r="H14" s="5" t="s">
        <v>32</v>
      </c>
      <c r="I14" s="60">
        <v>3</v>
      </c>
      <c r="J14" s="60">
        <v>80</v>
      </c>
      <c r="K14" s="60">
        <f t="shared" si="0"/>
        <v>240</v>
      </c>
      <c r="L14" s="12">
        <f t="shared" si="3"/>
        <v>2.4</v>
      </c>
    </row>
    <row r="15" spans="1:12">
      <c r="A15" s="60" t="s">
        <v>409</v>
      </c>
      <c r="B15" s="60">
        <v>2</v>
      </c>
      <c r="C15" s="60">
        <v>40</v>
      </c>
      <c r="D15" s="61">
        <f t="shared" si="1"/>
        <v>80</v>
      </c>
      <c r="E15" s="12">
        <f t="shared" si="2"/>
        <v>0.8</v>
      </c>
      <c r="G15" s="60" t="s">
        <v>409</v>
      </c>
      <c r="H15" s="5" t="s">
        <v>33</v>
      </c>
      <c r="I15" s="62">
        <v>2</v>
      </c>
      <c r="J15" s="62">
        <v>90</v>
      </c>
      <c r="K15" s="62">
        <f t="shared" si="0"/>
        <v>180</v>
      </c>
      <c r="L15" s="12">
        <f>K15*0.01</f>
        <v>1.8</v>
      </c>
    </row>
    <row r="16" spans="1:12">
      <c r="A16" s="60" t="s">
        <v>410</v>
      </c>
      <c r="B16" s="60">
        <v>1</v>
      </c>
      <c r="C16" s="60">
        <v>40</v>
      </c>
      <c r="D16" s="61">
        <f t="shared" si="1"/>
        <v>40</v>
      </c>
      <c r="E16" s="12">
        <f t="shared" si="2"/>
        <v>0.4</v>
      </c>
      <c r="L16" s="12"/>
    </row>
    <row r="17" spans="1:12">
      <c r="A17" s="60" t="s">
        <v>411</v>
      </c>
      <c r="B17" s="60">
        <v>3</v>
      </c>
      <c r="C17" s="60">
        <v>65</v>
      </c>
      <c r="D17" s="61">
        <f t="shared" si="1"/>
        <v>195</v>
      </c>
      <c r="E17" s="12">
        <f t="shared" si="2"/>
        <v>1.95</v>
      </c>
      <c r="L17" s="12"/>
    </row>
    <row r="18" spans="1:12">
      <c r="A18" s="60" t="s">
        <v>412</v>
      </c>
      <c r="B18" s="60">
        <v>2</v>
      </c>
      <c r="C18" s="60">
        <v>40</v>
      </c>
      <c r="D18" s="61">
        <f t="shared" si="1"/>
        <v>80</v>
      </c>
      <c r="E18" s="12">
        <f t="shared" si="2"/>
        <v>0.8</v>
      </c>
      <c r="L18" s="12"/>
    </row>
    <row r="19" spans="1:12">
      <c r="A19" s="60" t="s">
        <v>413</v>
      </c>
      <c r="B19" s="60">
        <v>1</v>
      </c>
      <c r="C19" s="60">
        <v>60</v>
      </c>
      <c r="D19" s="61">
        <f t="shared" si="1"/>
        <v>60</v>
      </c>
      <c r="E19" s="12">
        <f t="shared" si="2"/>
        <v>0.6</v>
      </c>
    </row>
    <row r="20" spans="1:12">
      <c r="A20" s="60" t="s">
        <v>414</v>
      </c>
      <c r="B20" s="60">
        <v>3</v>
      </c>
      <c r="C20" s="60">
        <v>70</v>
      </c>
      <c r="D20" s="61">
        <f t="shared" si="1"/>
        <v>210</v>
      </c>
      <c r="E20" s="12">
        <f t="shared" si="2"/>
        <v>2.1</v>
      </c>
    </row>
    <row r="21" spans="1:12">
      <c r="A21" s="60" t="s">
        <v>415</v>
      </c>
      <c r="B21" s="60">
        <v>1</v>
      </c>
      <c r="C21" s="60">
        <v>50</v>
      </c>
      <c r="D21" s="61">
        <f t="shared" si="1"/>
        <v>50</v>
      </c>
      <c r="E21" s="12">
        <f t="shared" si="2"/>
        <v>0.5</v>
      </c>
    </row>
    <row r="22" spans="1:12">
      <c r="A22" s="60" t="s">
        <v>416</v>
      </c>
      <c r="B22" s="60">
        <v>3</v>
      </c>
      <c r="C22" s="60">
        <v>70</v>
      </c>
      <c r="D22" s="61">
        <f t="shared" si="1"/>
        <v>210</v>
      </c>
      <c r="E22" s="12">
        <f t="shared" si="2"/>
        <v>2.1</v>
      </c>
    </row>
    <row r="23" spans="1:12">
      <c r="A23" s="60" t="s">
        <v>417</v>
      </c>
      <c r="B23" s="60">
        <v>0</v>
      </c>
      <c r="C23" s="60">
        <v>0</v>
      </c>
      <c r="D23" s="61">
        <f t="shared" si="1"/>
        <v>0</v>
      </c>
      <c r="E23" s="12">
        <f t="shared" si="2"/>
        <v>0</v>
      </c>
    </row>
    <row r="24" spans="1:12">
      <c r="A24" s="60" t="s">
        <v>418</v>
      </c>
      <c r="B24" s="60">
        <v>2</v>
      </c>
      <c r="C24" s="60">
        <v>70</v>
      </c>
      <c r="D24" s="61">
        <f t="shared" si="1"/>
        <v>140</v>
      </c>
      <c r="E24" s="12">
        <f t="shared" si="2"/>
        <v>1.4000000000000001</v>
      </c>
    </row>
    <row r="25" spans="1:12">
      <c r="A25" s="60" t="s">
        <v>419</v>
      </c>
      <c r="B25" s="60">
        <v>1</v>
      </c>
      <c r="C25" s="60">
        <v>50</v>
      </c>
      <c r="D25" s="61">
        <f t="shared" si="1"/>
        <v>50</v>
      </c>
      <c r="E25" s="12">
        <f t="shared" si="2"/>
        <v>0.5</v>
      </c>
    </row>
    <row r="26" spans="1:12">
      <c r="A26" s="60" t="s">
        <v>420</v>
      </c>
      <c r="B26" s="60">
        <v>3</v>
      </c>
      <c r="C26" s="60">
        <v>60</v>
      </c>
      <c r="D26" s="61">
        <f t="shared" si="1"/>
        <v>180</v>
      </c>
      <c r="E26" s="12">
        <f t="shared" si="2"/>
        <v>1.8</v>
      </c>
    </row>
    <row r="27" spans="1:12">
      <c r="A27" s="60" t="s">
        <v>421</v>
      </c>
      <c r="B27" s="60">
        <v>2</v>
      </c>
      <c r="C27" s="60">
        <v>70</v>
      </c>
      <c r="D27" s="61">
        <f t="shared" si="1"/>
        <v>140</v>
      </c>
      <c r="E27" s="12">
        <f t="shared" si="2"/>
        <v>1.4000000000000001</v>
      </c>
    </row>
    <row r="28" spans="1:12">
      <c r="A28" s="60" t="s">
        <v>422</v>
      </c>
      <c r="B28" s="60">
        <v>1</v>
      </c>
      <c r="C28" s="60">
        <v>50</v>
      </c>
      <c r="D28" s="61">
        <f t="shared" si="1"/>
        <v>50</v>
      </c>
      <c r="E28" s="12">
        <f t="shared" si="2"/>
        <v>0.5</v>
      </c>
      <c r="G28" s="12" t="s">
        <v>516</v>
      </c>
      <c r="H28" s="12">
        <f>_xlfn.T.TEST(E4:E88,L4:L15,2,2)</f>
        <v>1.2374930198694528E-3</v>
      </c>
    </row>
    <row r="29" spans="1:12">
      <c r="A29" s="60" t="s">
        <v>423</v>
      </c>
      <c r="B29" s="60">
        <v>3</v>
      </c>
      <c r="C29" s="60">
        <v>80</v>
      </c>
      <c r="D29" s="61">
        <f t="shared" si="1"/>
        <v>240</v>
      </c>
      <c r="E29" s="12">
        <f t="shared" si="2"/>
        <v>2.4</v>
      </c>
    </row>
    <row r="30" spans="1:12">
      <c r="A30" s="60" t="s">
        <v>424</v>
      </c>
      <c r="B30" s="60">
        <v>2</v>
      </c>
      <c r="C30" s="60">
        <v>60</v>
      </c>
      <c r="D30" s="61">
        <f t="shared" si="1"/>
        <v>120</v>
      </c>
      <c r="E30" s="12">
        <f t="shared" si="2"/>
        <v>1.2</v>
      </c>
    </row>
    <row r="31" spans="1:12">
      <c r="A31" s="60" t="s">
        <v>425</v>
      </c>
      <c r="B31" s="60">
        <v>1</v>
      </c>
      <c r="C31" s="60">
        <v>80</v>
      </c>
      <c r="D31" s="61">
        <f t="shared" si="1"/>
        <v>80</v>
      </c>
      <c r="E31" s="12">
        <f t="shared" si="2"/>
        <v>0.8</v>
      </c>
    </row>
    <row r="32" spans="1:12">
      <c r="A32" s="60" t="s">
        <v>426</v>
      </c>
      <c r="B32" s="60">
        <v>3</v>
      </c>
      <c r="C32" s="60">
        <v>70</v>
      </c>
      <c r="D32" s="61">
        <f t="shared" si="1"/>
        <v>210</v>
      </c>
      <c r="E32" s="12">
        <f t="shared" si="2"/>
        <v>2.1</v>
      </c>
    </row>
    <row r="33" spans="1:8">
      <c r="A33" s="60" t="s">
        <v>427</v>
      </c>
      <c r="B33" s="60">
        <v>2</v>
      </c>
      <c r="C33" s="60">
        <v>60</v>
      </c>
      <c r="D33" s="61">
        <f t="shared" si="1"/>
        <v>120</v>
      </c>
      <c r="E33" s="12">
        <f t="shared" si="2"/>
        <v>1.2</v>
      </c>
    </row>
    <row r="34" spans="1:8">
      <c r="A34" s="60" t="s">
        <v>428</v>
      </c>
      <c r="B34" s="60">
        <v>3</v>
      </c>
      <c r="C34" s="60">
        <v>50</v>
      </c>
      <c r="D34" s="61">
        <f t="shared" si="1"/>
        <v>150</v>
      </c>
      <c r="E34" s="12">
        <f t="shared" si="2"/>
        <v>1.5</v>
      </c>
    </row>
    <row r="35" spans="1:8">
      <c r="A35" s="60" t="s">
        <v>429</v>
      </c>
      <c r="B35" s="60">
        <v>1</v>
      </c>
      <c r="C35" s="60">
        <v>75</v>
      </c>
      <c r="D35" s="61">
        <f t="shared" si="1"/>
        <v>75</v>
      </c>
      <c r="E35" s="12">
        <f t="shared" si="2"/>
        <v>0.75</v>
      </c>
    </row>
    <row r="36" spans="1:8">
      <c r="A36" s="60" t="s">
        <v>430</v>
      </c>
      <c r="B36" s="60">
        <v>2</v>
      </c>
      <c r="C36" s="60">
        <v>40</v>
      </c>
      <c r="D36" s="61">
        <f t="shared" si="1"/>
        <v>80</v>
      </c>
      <c r="E36" s="12">
        <f t="shared" si="2"/>
        <v>0.8</v>
      </c>
    </row>
    <row r="37" spans="1:8">
      <c r="A37" s="60" t="s">
        <v>431</v>
      </c>
      <c r="B37" s="60">
        <v>0</v>
      </c>
      <c r="C37" s="60">
        <v>0</v>
      </c>
      <c r="D37" s="61">
        <f t="shared" si="1"/>
        <v>0</v>
      </c>
      <c r="E37" s="12">
        <f t="shared" si="2"/>
        <v>0</v>
      </c>
    </row>
    <row r="38" spans="1:8">
      <c r="A38" s="60" t="s">
        <v>432</v>
      </c>
      <c r="B38" s="60">
        <v>3</v>
      </c>
      <c r="C38" s="60">
        <v>70</v>
      </c>
      <c r="D38" s="61">
        <f t="shared" si="1"/>
        <v>210</v>
      </c>
      <c r="E38" s="12">
        <f t="shared" si="2"/>
        <v>2.1</v>
      </c>
    </row>
    <row r="39" spans="1:8">
      <c r="A39" s="60" t="s">
        <v>433</v>
      </c>
      <c r="B39" s="60">
        <v>2</v>
      </c>
      <c r="C39" s="60">
        <v>60</v>
      </c>
      <c r="D39" s="61">
        <f t="shared" si="1"/>
        <v>120</v>
      </c>
      <c r="E39" s="12">
        <f t="shared" si="2"/>
        <v>1.2</v>
      </c>
    </row>
    <row r="40" spans="1:8">
      <c r="A40" s="60" t="s">
        <v>434</v>
      </c>
      <c r="B40" s="60">
        <v>3</v>
      </c>
      <c r="C40" s="60">
        <v>70</v>
      </c>
      <c r="D40" s="61">
        <f t="shared" si="1"/>
        <v>210</v>
      </c>
      <c r="E40" s="12">
        <f t="shared" si="2"/>
        <v>2.1</v>
      </c>
    </row>
    <row r="41" spans="1:8">
      <c r="A41" s="60" t="s">
        <v>435</v>
      </c>
      <c r="B41" s="60">
        <v>2</v>
      </c>
      <c r="C41" s="60">
        <v>80</v>
      </c>
      <c r="D41" s="61">
        <f t="shared" si="1"/>
        <v>160</v>
      </c>
      <c r="E41" s="12">
        <f t="shared" si="2"/>
        <v>1.6</v>
      </c>
    </row>
    <row r="42" spans="1:8">
      <c r="A42" s="60" t="s">
        <v>436</v>
      </c>
      <c r="B42" s="60">
        <v>2</v>
      </c>
      <c r="C42" s="60">
        <v>60</v>
      </c>
      <c r="D42" s="61">
        <f t="shared" si="1"/>
        <v>120</v>
      </c>
      <c r="E42" s="12">
        <f t="shared" si="2"/>
        <v>1.2</v>
      </c>
    </row>
    <row r="43" spans="1:8">
      <c r="A43" s="60" t="s">
        <v>437</v>
      </c>
      <c r="B43" s="60">
        <v>2</v>
      </c>
      <c r="C43" s="60">
        <v>100</v>
      </c>
      <c r="D43" s="61">
        <f t="shared" si="1"/>
        <v>200</v>
      </c>
      <c r="E43" s="12">
        <f t="shared" si="2"/>
        <v>2</v>
      </c>
    </row>
    <row r="44" spans="1:8">
      <c r="A44" s="60" t="s">
        <v>438</v>
      </c>
      <c r="B44" s="60">
        <v>1</v>
      </c>
      <c r="C44" s="60">
        <v>90</v>
      </c>
      <c r="D44" s="61">
        <f t="shared" si="1"/>
        <v>90</v>
      </c>
      <c r="E44" s="12">
        <f t="shared" si="2"/>
        <v>0.9</v>
      </c>
    </row>
    <row r="45" spans="1:8">
      <c r="A45" s="60" t="s">
        <v>439</v>
      </c>
      <c r="B45" s="60">
        <v>3</v>
      </c>
      <c r="C45" s="60">
        <v>60</v>
      </c>
      <c r="D45" s="61">
        <f t="shared" si="1"/>
        <v>180</v>
      </c>
      <c r="E45" s="12">
        <f t="shared" si="2"/>
        <v>1.8</v>
      </c>
    </row>
    <row r="46" spans="1:8">
      <c r="A46" s="60" t="s">
        <v>440</v>
      </c>
      <c r="B46" s="60">
        <v>2</v>
      </c>
      <c r="C46" s="60">
        <v>70</v>
      </c>
      <c r="D46" s="61">
        <f t="shared" si="1"/>
        <v>140</v>
      </c>
      <c r="E46" s="12">
        <f t="shared" si="2"/>
        <v>1.4000000000000001</v>
      </c>
    </row>
    <row r="47" spans="1:8">
      <c r="A47" s="60" t="s">
        <v>441</v>
      </c>
      <c r="B47" s="60">
        <v>1</v>
      </c>
      <c r="C47" s="60">
        <v>70</v>
      </c>
      <c r="D47" s="61">
        <f t="shared" si="1"/>
        <v>70</v>
      </c>
      <c r="E47" s="12">
        <f t="shared" si="2"/>
        <v>0.70000000000000007</v>
      </c>
      <c r="F47" s="12"/>
      <c r="G47" s="12"/>
      <c r="H47" s="12"/>
    </row>
    <row r="48" spans="1:8">
      <c r="A48" s="60" t="s">
        <v>442</v>
      </c>
      <c r="B48" s="60">
        <v>3</v>
      </c>
      <c r="C48" s="60">
        <v>65</v>
      </c>
      <c r="D48" s="61">
        <f t="shared" si="1"/>
        <v>195</v>
      </c>
      <c r="E48" s="12">
        <f t="shared" si="2"/>
        <v>1.95</v>
      </c>
      <c r="F48" s="12"/>
      <c r="G48" s="12"/>
      <c r="H48" s="12"/>
    </row>
    <row r="49" spans="1:5">
      <c r="A49" s="60" t="s">
        <v>443</v>
      </c>
      <c r="B49" s="60">
        <v>2</v>
      </c>
      <c r="C49" s="60">
        <v>70</v>
      </c>
      <c r="D49" s="61">
        <f t="shared" si="1"/>
        <v>140</v>
      </c>
      <c r="E49" s="12">
        <f t="shared" si="2"/>
        <v>1.4000000000000001</v>
      </c>
    </row>
    <row r="50" spans="1:5">
      <c r="A50" s="60" t="s">
        <v>444</v>
      </c>
      <c r="B50" s="60">
        <v>3</v>
      </c>
      <c r="C50" s="60">
        <v>40</v>
      </c>
      <c r="D50" s="61">
        <f t="shared" si="1"/>
        <v>120</v>
      </c>
      <c r="E50" s="12">
        <f t="shared" si="2"/>
        <v>1.2</v>
      </c>
    </row>
    <row r="51" spans="1:5">
      <c r="A51" s="60" t="s">
        <v>445</v>
      </c>
      <c r="B51" s="60">
        <v>3</v>
      </c>
      <c r="C51" s="60">
        <v>50</v>
      </c>
      <c r="D51" s="61">
        <f t="shared" si="1"/>
        <v>150</v>
      </c>
      <c r="E51" s="12">
        <f t="shared" si="2"/>
        <v>1.5</v>
      </c>
    </row>
    <row r="52" spans="1:5">
      <c r="A52" s="60" t="s">
        <v>446</v>
      </c>
      <c r="B52" s="60">
        <v>2</v>
      </c>
      <c r="C52" s="60">
        <v>80</v>
      </c>
      <c r="D52" s="61">
        <f t="shared" si="1"/>
        <v>160</v>
      </c>
      <c r="E52" s="12">
        <f t="shared" si="2"/>
        <v>1.6</v>
      </c>
    </row>
    <row r="53" spans="1:5">
      <c r="A53" s="60" t="s">
        <v>447</v>
      </c>
      <c r="B53" s="60">
        <v>2</v>
      </c>
      <c r="C53" s="60">
        <v>90</v>
      </c>
      <c r="D53" s="61">
        <f t="shared" si="1"/>
        <v>180</v>
      </c>
      <c r="E53" s="12">
        <f t="shared" si="2"/>
        <v>1.8</v>
      </c>
    </row>
    <row r="54" spans="1:5">
      <c r="A54" s="60" t="s">
        <v>448</v>
      </c>
      <c r="B54" s="60">
        <v>2</v>
      </c>
      <c r="C54" s="60">
        <v>75</v>
      </c>
      <c r="D54" s="61">
        <f t="shared" si="1"/>
        <v>150</v>
      </c>
      <c r="E54" s="12">
        <f t="shared" si="2"/>
        <v>1.5</v>
      </c>
    </row>
    <row r="55" spans="1:5">
      <c r="A55" s="60" t="s">
        <v>449</v>
      </c>
      <c r="B55" s="60">
        <v>3</v>
      </c>
      <c r="C55" s="60">
        <v>80</v>
      </c>
      <c r="D55" s="61">
        <f t="shared" si="1"/>
        <v>240</v>
      </c>
      <c r="E55" s="12">
        <f t="shared" si="2"/>
        <v>2.4</v>
      </c>
    </row>
    <row r="56" spans="1:5">
      <c r="A56" s="60" t="s">
        <v>450</v>
      </c>
      <c r="B56" s="60">
        <v>1</v>
      </c>
      <c r="C56" s="60">
        <v>50</v>
      </c>
      <c r="D56" s="61">
        <f t="shared" si="1"/>
        <v>50</v>
      </c>
      <c r="E56" s="12">
        <f t="shared" si="2"/>
        <v>0.5</v>
      </c>
    </row>
    <row r="57" spans="1:5">
      <c r="A57" s="60" t="s">
        <v>451</v>
      </c>
      <c r="B57" s="60">
        <v>2</v>
      </c>
      <c r="C57" s="60">
        <v>70</v>
      </c>
      <c r="D57" s="61">
        <f t="shared" si="1"/>
        <v>140</v>
      </c>
      <c r="E57" s="12">
        <f t="shared" si="2"/>
        <v>1.4000000000000001</v>
      </c>
    </row>
    <row r="58" spans="1:5">
      <c r="A58" s="60" t="s">
        <v>452</v>
      </c>
      <c r="B58" s="60">
        <v>2</v>
      </c>
      <c r="C58" s="60">
        <v>80</v>
      </c>
      <c r="D58" s="61">
        <f t="shared" si="1"/>
        <v>160</v>
      </c>
      <c r="E58" s="12">
        <f t="shared" si="2"/>
        <v>1.6</v>
      </c>
    </row>
    <row r="59" spans="1:5">
      <c r="A59" s="60" t="s">
        <v>453</v>
      </c>
      <c r="B59" s="60">
        <v>3</v>
      </c>
      <c r="C59" s="60">
        <v>60</v>
      </c>
      <c r="D59" s="61">
        <f t="shared" si="1"/>
        <v>180</v>
      </c>
      <c r="E59" s="12">
        <f t="shared" si="2"/>
        <v>1.8</v>
      </c>
    </row>
    <row r="60" spans="1:5">
      <c r="A60" s="60" t="s">
        <v>454</v>
      </c>
      <c r="B60" s="60">
        <v>2</v>
      </c>
      <c r="C60" s="60">
        <v>70</v>
      </c>
      <c r="D60" s="61">
        <f t="shared" si="1"/>
        <v>140</v>
      </c>
      <c r="E60" s="12">
        <f t="shared" si="2"/>
        <v>1.4000000000000001</v>
      </c>
    </row>
    <row r="61" spans="1:5">
      <c r="A61" s="60" t="s">
        <v>455</v>
      </c>
      <c r="B61" s="60">
        <v>3</v>
      </c>
      <c r="C61" s="60">
        <v>60</v>
      </c>
      <c r="D61" s="61">
        <f t="shared" si="1"/>
        <v>180</v>
      </c>
      <c r="E61" s="12">
        <f t="shared" si="2"/>
        <v>1.8</v>
      </c>
    </row>
    <row r="62" spans="1:5">
      <c r="A62" s="60" t="s">
        <v>456</v>
      </c>
      <c r="B62" s="60">
        <v>2</v>
      </c>
      <c r="C62" s="60">
        <v>70</v>
      </c>
      <c r="D62" s="61">
        <f t="shared" si="1"/>
        <v>140</v>
      </c>
      <c r="E62" s="12">
        <f t="shared" si="2"/>
        <v>1.4000000000000001</v>
      </c>
    </row>
    <row r="63" spans="1:5">
      <c r="A63" s="60" t="s">
        <v>457</v>
      </c>
      <c r="B63" s="60">
        <v>1</v>
      </c>
      <c r="C63" s="60">
        <v>50</v>
      </c>
      <c r="D63" s="61">
        <f t="shared" si="1"/>
        <v>50</v>
      </c>
      <c r="E63" s="12">
        <f t="shared" si="2"/>
        <v>0.5</v>
      </c>
    </row>
    <row r="64" spans="1:5">
      <c r="A64" s="60" t="s">
        <v>458</v>
      </c>
      <c r="B64" s="63">
        <v>2</v>
      </c>
      <c r="C64" s="63">
        <v>70</v>
      </c>
      <c r="D64" s="64">
        <f t="shared" si="1"/>
        <v>140</v>
      </c>
      <c r="E64" s="12">
        <f t="shared" si="2"/>
        <v>1.4000000000000001</v>
      </c>
    </row>
    <row r="65" spans="1:5">
      <c r="A65" s="60" t="s">
        <v>459</v>
      </c>
      <c r="B65" s="60">
        <v>3</v>
      </c>
      <c r="C65" s="60">
        <v>60</v>
      </c>
      <c r="D65" s="61">
        <f t="shared" si="1"/>
        <v>180</v>
      </c>
      <c r="E65" s="12">
        <f t="shared" si="2"/>
        <v>1.8</v>
      </c>
    </row>
    <row r="66" spans="1:5">
      <c r="A66" s="60" t="s">
        <v>460</v>
      </c>
      <c r="B66" s="60">
        <v>0</v>
      </c>
      <c r="C66" s="60">
        <v>0</v>
      </c>
      <c r="D66" s="61">
        <f t="shared" si="1"/>
        <v>0</v>
      </c>
      <c r="E66" s="12">
        <f t="shared" si="2"/>
        <v>0</v>
      </c>
    </row>
    <row r="67" spans="1:5">
      <c r="A67" s="60" t="s">
        <v>461</v>
      </c>
      <c r="B67" s="60">
        <v>2</v>
      </c>
      <c r="C67" s="60">
        <v>70</v>
      </c>
      <c r="D67" s="61">
        <f t="shared" si="1"/>
        <v>140</v>
      </c>
      <c r="E67" s="12">
        <f t="shared" si="2"/>
        <v>1.4000000000000001</v>
      </c>
    </row>
    <row r="68" spans="1:5">
      <c r="A68" s="60" t="s">
        <v>462</v>
      </c>
      <c r="B68" s="60">
        <v>1</v>
      </c>
      <c r="C68" s="60">
        <v>80</v>
      </c>
      <c r="D68" s="61">
        <f t="shared" si="1"/>
        <v>80</v>
      </c>
      <c r="E68" s="12">
        <f t="shared" si="2"/>
        <v>0.8</v>
      </c>
    </row>
    <row r="69" spans="1:5">
      <c r="A69" s="60" t="s">
        <v>463</v>
      </c>
      <c r="B69" s="60">
        <v>3</v>
      </c>
      <c r="C69" s="60">
        <v>70</v>
      </c>
      <c r="D69" s="61">
        <f t="shared" ref="D69:D88" si="4">B69*C69</f>
        <v>210</v>
      </c>
      <c r="E69" s="12">
        <f t="shared" ref="E69:E88" si="5">D69*0.01</f>
        <v>2.1</v>
      </c>
    </row>
    <row r="70" spans="1:5">
      <c r="A70" s="60" t="s">
        <v>464</v>
      </c>
      <c r="B70" s="60">
        <v>2</v>
      </c>
      <c r="C70" s="60">
        <v>80</v>
      </c>
      <c r="D70" s="61">
        <f t="shared" si="4"/>
        <v>160</v>
      </c>
      <c r="E70" s="12">
        <f t="shared" si="5"/>
        <v>1.6</v>
      </c>
    </row>
    <row r="71" spans="1:5">
      <c r="A71" s="60" t="s">
        <v>465</v>
      </c>
      <c r="B71" s="60">
        <v>2</v>
      </c>
      <c r="C71" s="60">
        <v>60</v>
      </c>
      <c r="D71" s="61">
        <f t="shared" si="4"/>
        <v>120</v>
      </c>
      <c r="E71" s="12">
        <f t="shared" si="5"/>
        <v>1.2</v>
      </c>
    </row>
    <row r="72" spans="1:5">
      <c r="A72" s="60" t="s">
        <v>466</v>
      </c>
      <c r="B72" s="60">
        <v>1</v>
      </c>
      <c r="C72" s="60">
        <v>50</v>
      </c>
      <c r="D72" s="61">
        <f t="shared" si="4"/>
        <v>50</v>
      </c>
      <c r="E72" s="12">
        <f t="shared" si="5"/>
        <v>0.5</v>
      </c>
    </row>
    <row r="73" spans="1:5">
      <c r="A73" s="60" t="s">
        <v>467</v>
      </c>
      <c r="B73" s="60">
        <v>3</v>
      </c>
      <c r="C73" s="60">
        <v>70</v>
      </c>
      <c r="D73" s="61">
        <f t="shared" si="4"/>
        <v>210</v>
      </c>
      <c r="E73" s="12">
        <f t="shared" si="5"/>
        <v>2.1</v>
      </c>
    </row>
    <row r="74" spans="1:5">
      <c r="A74" s="60" t="s">
        <v>468</v>
      </c>
      <c r="B74" s="60">
        <v>3</v>
      </c>
      <c r="C74" s="60">
        <v>70</v>
      </c>
      <c r="D74" s="61">
        <f t="shared" si="4"/>
        <v>210</v>
      </c>
      <c r="E74" s="12">
        <f t="shared" si="5"/>
        <v>2.1</v>
      </c>
    </row>
    <row r="75" spans="1:5">
      <c r="A75" s="60" t="s">
        <v>469</v>
      </c>
      <c r="B75" s="60">
        <v>2</v>
      </c>
      <c r="C75" s="60">
        <v>60</v>
      </c>
      <c r="D75" s="61">
        <f t="shared" si="4"/>
        <v>120</v>
      </c>
      <c r="E75" s="12">
        <f t="shared" si="5"/>
        <v>1.2</v>
      </c>
    </row>
    <row r="76" spans="1:5">
      <c r="A76" s="60" t="s">
        <v>470</v>
      </c>
      <c r="B76" s="60">
        <v>3</v>
      </c>
      <c r="C76" s="60">
        <v>70</v>
      </c>
      <c r="D76" s="61">
        <f t="shared" si="4"/>
        <v>210</v>
      </c>
      <c r="E76" s="12">
        <f t="shared" si="5"/>
        <v>2.1</v>
      </c>
    </row>
    <row r="77" spans="1:5">
      <c r="A77" s="60" t="s">
        <v>471</v>
      </c>
      <c r="B77" s="60">
        <v>3</v>
      </c>
      <c r="C77" s="60">
        <v>80</v>
      </c>
      <c r="D77" s="61">
        <f t="shared" si="4"/>
        <v>240</v>
      </c>
      <c r="E77" s="12">
        <f t="shared" si="5"/>
        <v>2.4</v>
      </c>
    </row>
    <row r="78" spans="1:5">
      <c r="A78" s="60" t="s">
        <v>472</v>
      </c>
      <c r="B78" s="62">
        <v>2</v>
      </c>
      <c r="C78" s="62">
        <v>70</v>
      </c>
      <c r="D78" s="65">
        <f t="shared" si="4"/>
        <v>140</v>
      </c>
      <c r="E78" s="12">
        <f t="shared" si="5"/>
        <v>1.4000000000000001</v>
      </c>
    </row>
    <row r="79" spans="1:5">
      <c r="A79" s="60" t="s">
        <v>473</v>
      </c>
      <c r="B79" s="62">
        <v>1</v>
      </c>
      <c r="C79" s="62">
        <v>50</v>
      </c>
      <c r="D79" s="65">
        <f t="shared" si="4"/>
        <v>50</v>
      </c>
      <c r="E79" s="12">
        <f t="shared" si="5"/>
        <v>0.5</v>
      </c>
    </row>
    <row r="80" spans="1:5">
      <c r="A80" s="60" t="s">
        <v>474</v>
      </c>
      <c r="B80" s="62">
        <v>3</v>
      </c>
      <c r="C80" s="62">
        <v>60</v>
      </c>
      <c r="D80" s="65">
        <f t="shared" si="4"/>
        <v>180</v>
      </c>
      <c r="E80" s="12">
        <f t="shared" si="5"/>
        <v>1.8</v>
      </c>
    </row>
    <row r="81" spans="1:5">
      <c r="A81" s="60" t="s">
        <v>475</v>
      </c>
      <c r="B81" s="62">
        <v>1</v>
      </c>
      <c r="C81" s="62">
        <v>70</v>
      </c>
      <c r="D81" s="65">
        <f t="shared" si="4"/>
        <v>70</v>
      </c>
      <c r="E81" s="12">
        <f t="shared" si="5"/>
        <v>0.70000000000000007</v>
      </c>
    </row>
    <row r="82" spans="1:5">
      <c r="A82" s="60" t="s">
        <v>476</v>
      </c>
      <c r="B82" s="62">
        <v>2</v>
      </c>
      <c r="C82" s="62">
        <v>80</v>
      </c>
      <c r="D82" s="65">
        <f t="shared" si="4"/>
        <v>160</v>
      </c>
      <c r="E82" s="12">
        <f t="shared" si="5"/>
        <v>1.6</v>
      </c>
    </row>
    <row r="83" spans="1:5">
      <c r="A83" s="60" t="s">
        <v>477</v>
      </c>
      <c r="B83" s="62">
        <v>0</v>
      </c>
      <c r="C83">
        <v>0</v>
      </c>
      <c r="D83" s="65">
        <f t="shared" si="4"/>
        <v>0</v>
      </c>
      <c r="E83" s="12">
        <f t="shared" si="5"/>
        <v>0</v>
      </c>
    </row>
    <row r="84" spans="1:5">
      <c r="A84" s="60" t="s">
        <v>478</v>
      </c>
      <c r="B84">
        <v>1</v>
      </c>
      <c r="C84">
        <v>90</v>
      </c>
      <c r="D84" s="65">
        <f t="shared" si="4"/>
        <v>90</v>
      </c>
      <c r="E84" s="12">
        <f t="shared" si="5"/>
        <v>0.9</v>
      </c>
    </row>
    <row r="85" spans="1:5">
      <c r="A85" s="60" t="s">
        <v>479</v>
      </c>
      <c r="B85">
        <v>1</v>
      </c>
      <c r="C85">
        <v>50</v>
      </c>
      <c r="D85" s="65">
        <f t="shared" si="4"/>
        <v>50</v>
      </c>
      <c r="E85" s="12">
        <f t="shared" si="5"/>
        <v>0.5</v>
      </c>
    </row>
    <row r="86" spans="1:5">
      <c r="A86" s="60" t="s">
        <v>480</v>
      </c>
      <c r="B86">
        <v>2</v>
      </c>
      <c r="C86">
        <v>40</v>
      </c>
      <c r="D86" s="65">
        <f t="shared" si="4"/>
        <v>80</v>
      </c>
      <c r="E86" s="12">
        <f t="shared" si="5"/>
        <v>0.8</v>
      </c>
    </row>
    <row r="87" spans="1:5">
      <c r="A87" s="60" t="s">
        <v>481</v>
      </c>
      <c r="B87">
        <v>3</v>
      </c>
      <c r="C87">
        <v>70</v>
      </c>
      <c r="D87" s="65">
        <f t="shared" si="4"/>
        <v>210</v>
      </c>
      <c r="E87" s="12">
        <f t="shared" si="5"/>
        <v>2.1</v>
      </c>
    </row>
    <row r="88" spans="1:5">
      <c r="A88" s="60" t="s">
        <v>482</v>
      </c>
      <c r="B88">
        <v>2</v>
      </c>
      <c r="C88">
        <v>80</v>
      </c>
      <c r="D88" s="65">
        <f t="shared" si="4"/>
        <v>160</v>
      </c>
      <c r="E88" s="12">
        <f t="shared" si="5"/>
        <v>1.6</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zoomScaleNormal="100" workbookViewId="0"/>
  </sheetViews>
  <sheetFormatPr defaultRowHeight="15"/>
  <sheetData>
    <row r="1" spans="1:10" ht="15.75">
      <c r="A1" s="77" t="s">
        <v>541</v>
      </c>
    </row>
    <row r="3" spans="1:10">
      <c r="C3" t="s">
        <v>81</v>
      </c>
      <c r="D3" t="s">
        <v>82</v>
      </c>
      <c r="E3" t="s">
        <v>83</v>
      </c>
      <c r="F3" t="s">
        <v>84</v>
      </c>
      <c r="G3" t="s">
        <v>85</v>
      </c>
      <c r="H3" t="s">
        <v>86</v>
      </c>
      <c r="I3" t="s">
        <v>87</v>
      </c>
      <c r="J3" t="s">
        <v>88</v>
      </c>
    </row>
    <row r="4" spans="1:10">
      <c r="A4" t="s">
        <v>89</v>
      </c>
      <c r="B4">
        <v>1</v>
      </c>
      <c r="C4">
        <v>220801</v>
      </c>
      <c r="D4" s="5">
        <v>2.4E-2</v>
      </c>
      <c r="E4">
        <v>3.1E-2</v>
      </c>
      <c r="F4">
        <v>5287.0029999999997</v>
      </c>
      <c r="G4">
        <v>93.483999999999995</v>
      </c>
      <c r="H4">
        <v>53411766</v>
      </c>
      <c r="I4">
        <v>0.60699999999999998</v>
      </c>
      <c r="J4">
        <v>3.0000000000000001E-3</v>
      </c>
    </row>
    <row r="5" spans="1:10">
      <c r="A5" t="s">
        <v>89</v>
      </c>
      <c r="B5">
        <v>2</v>
      </c>
      <c r="C5">
        <v>236581</v>
      </c>
      <c r="D5" s="5">
        <v>2.4E-2</v>
      </c>
      <c r="E5">
        <v>2.5999999999999999E-2</v>
      </c>
      <c r="F5">
        <v>5613.4880000000003</v>
      </c>
      <c r="G5">
        <v>99.35</v>
      </c>
      <c r="H5">
        <v>57218288</v>
      </c>
      <c r="I5">
        <v>0.60699999999999998</v>
      </c>
      <c r="J5">
        <v>3.0000000000000001E-3</v>
      </c>
    </row>
    <row r="6" spans="1:10">
      <c r="A6" t="s">
        <v>89</v>
      </c>
      <c r="B6">
        <v>3</v>
      </c>
      <c r="C6">
        <v>163441</v>
      </c>
      <c r="D6" s="5">
        <v>2.5000000000000001E-2</v>
      </c>
      <c r="E6">
        <v>0.03</v>
      </c>
      <c r="F6">
        <v>4165.8019999999997</v>
      </c>
      <c r="G6">
        <v>75.92</v>
      </c>
      <c r="H6">
        <v>39392444</v>
      </c>
      <c r="I6">
        <v>0.60699999999999998</v>
      </c>
      <c r="J6">
        <v>3.0000000000000001E-3</v>
      </c>
    </row>
    <row r="7" spans="1:10">
      <c r="A7" t="s">
        <v>89</v>
      </c>
      <c r="B7">
        <v>4</v>
      </c>
      <c r="C7">
        <v>185087</v>
      </c>
      <c r="D7" s="5">
        <v>2.7E-2</v>
      </c>
      <c r="E7">
        <v>3.1E-2</v>
      </c>
      <c r="F7">
        <v>5016.201</v>
      </c>
      <c r="G7">
        <v>85.272000000000006</v>
      </c>
      <c r="H7">
        <v>44450123</v>
      </c>
      <c r="I7">
        <v>0.60699999999999998</v>
      </c>
      <c r="J7">
        <v>3.0000000000000001E-3</v>
      </c>
    </row>
    <row r="8" spans="1:10">
      <c r="A8" t="s">
        <v>89</v>
      </c>
      <c r="B8">
        <v>5</v>
      </c>
      <c r="C8">
        <v>211942</v>
      </c>
      <c r="D8" s="5">
        <v>2.8000000000000001E-2</v>
      </c>
      <c r="E8">
        <v>0.03</v>
      </c>
      <c r="F8">
        <v>5859.9859999999999</v>
      </c>
      <c r="G8">
        <v>93.78</v>
      </c>
      <c r="H8">
        <v>50828858</v>
      </c>
      <c r="I8">
        <v>0.60699999999999998</v>
      </c>
      <c r="J8">
        <v>3.0000000000000001E-3</v>
      </c>
    </row>
    <row r="9" spans="1:10">
      <c r="A9" t="s">
        <v>89</v>
      </c>
      <c r="B9">
        <v>6</v>
      </c>
      <c r="C9">
        <v>199789</v>
      </c>
      <c r="D9" s="5">
        <v>0.03</v>
      </c>
      <c r="E9">
        <v>3.3000000000000002E-2</v>
      </c>
      <c r="F9">
        <v>5912.0339999999997</v>
      </c>
      <c r="G9">
        <v>88.924999999999997</v>
      </c>
      <c r="H9">
        <v>47717277</v>
      </c>
      <c r="I9">
        <v>0.60699999999999998</v>
      </c>
      <c r="J9">
        <v>3.0000000000000001E-3</v>
      </c>
    </row>
    <row r="10" spans="1:10">
      <c r="A10" t="s">
        <v>89</v>
      </c>
      <c r="B10">
        <v>7</v>
      </c>
      <c r="C10">
        <v>220062</v>
      </c>
      <c r="D10" s="5">
        <v>1.7000000000000001E-2</v>
      </c>
      <c r="E10">
        <v>2.1000000000000001E-2</v>
      </c>
      <c r="F10">
        <v>3835.6959999999999</v>
      </c>
      <c r="G10">
        <v>94.724000000000004</v>
      </c>
      <c r="H10">
        <v>53969975</v>
      </c>
      <c r="I10">
        <v>0.60699999999999998</v>
      </c>
      <c r="J10">
        <v>3.0000000000000001E-3</v>
      </c>
    </row>
    <row r="11" spans="1:10">
      <c r="A11" t="s">
        <v>89</v>
      </c>
      <c r="B11">
        <v>8</v>
      </c>
      <c r="C11">
        <v>220062</v>
      </c>
      <c r="D11" s="5">
        <v>1.7000000000000001E-2</v>
      </c>
      <c r="E11">
        <v>2.1000000000000001E-2</v>
      </c>
      <c r="F11">
        <v>3835.6959999999999</v>
      </c>
      <c r="G11">
        <v>94.724000000000004</v>
      </c>
      <c r="H11">
        <v>53969975</v>
      </c>
      <c r="I11">
        <v>0.60699999999999998</v>
      </c>
      <c r="J11">
        <v>3.0000000000000001E-3</v>
      </c>
    </row>
    <row r="12" spans="1:10">
      <c r="A12" t="s">
        <v>89</v>
      </c>
      <c r="B12">
        <v>9</v>
      </c>
      <c r="C12">
        <v>215285</v>
      </c>
      <c r="D12" s="5">
        <v>1.9E-2</v>
      </c>
      <c r="E12">
        <v>2.4E-2</v>
      </c>
      <c r="F12">
        <v>4178.4110000000001</v>
      </c>
      <c r="G12">
        <v>88.960999999999999</v>
      </c>
      <c r="H12">
        <v>52575810</v>
      </c>
      <c r="I12">
        <v>0.60699999999999998</v>
      </c>
      <c r="J12">
        <v>3.0000000000000001E-3</v>
      </c>
    </row>
    <row r="13" spans="1:10">
      <c r="A13" t="s">
        <v>89</v>
      </c>
      <c r="B13">
        <v>10</v>
      </c>
      <c r="C13">
        <v>228480</v>
      </c>
      <c r="D13" s="5">
        <v>2.3E-2</v>
      </c>
      <c r="E13">
        <v>2.5000000000000001E-2</v>
      </c>
      <c r="F13">
        <v>5168.4319999999998</v>
      </c>
      <c r="G13">
        <v>100</v>
      </c>
      <c r="H13">
        <v>55394065</v>
      </c>
      <c r="I13">
        <v>0.60699999999999998</v>
      </c>
      <c r="J13">
        <v>3.0000000000000001E-3</v>
      </c>
    </row>
    <row r="14" spans="1:10">
      <c r="A14" t="s">
        <v>89</v>
      </c>
      <c r="B14">
        <v>11</v>
      </c>
      <c r="C14">
        <v>221428</v>
      </c>
      <c r="D14" s="5">
        <v>2.5000000000000001E-2</v>
      </c>
      <c r="E14">
        <v>2.3E-2</v>
      </c>
      <c r="F14">
        <v>5592.5240000000003</v>
      </c>
      <c r="G14">
        <v>88.576999999999998</v>
      </c>
      <c r="H14">
        <v>53346503</v>
      </c>
      <c r="I14">
        <v>0.60699999999999998</v>
      </c>
      <c r="J14">
        <v>3.0000000000000001E-3</v>
      </c>
    </row>
    <row r="15" spans="1:10">
      <c r="A15" t="s">
        <v>89</v>
      </c>
      <c r="B15">
        <v>12</v>
      </c>
      <c r="C15">
        <v>200470</v>
      </c>
      <c r="D15" s="5">
        <v>2.7E-2</v>
      </c>
      <c r="E15">
        <v>2.4E-2</v>
      </c>
      <c r="F15">
        <v>5380.27</v>
      </c>
      <c r="G15">
        <v>86.29</v>
      </c>
      <c r="H15">
        <v>48129564</v>
      </c>
      <c r="I15">
        <v>0.60699999999999998</v>
      </c>
      <c r="J15">
        <v>3.0000000000000001E-3</v>
      </c>
    </row>
    <row r="18" spans="1:10">
      <c r="A18" t="s">
        <v>33</v>
      </c>
      <c r="B18" t="s">
        <v>80</v>
      </c>
      <c r="C18" t="s">
        <v>81</v>
      </c>
      <c r="D18" t="s">
        <v>82</v>
      </c>
      <c r="E18" t="s">
        <v>83</v>
      </c>
      <c r="F18" t="s">
        <v>84</v>
      </c>
      <c r="G18" t="s">
        <v>85</v>
      </c>
      <c r="H18" t="s">
        <v>86</v>
      </c>
      <c r="I18" t="s">
        <v>87</v>
      </c>
      <c r="J18" t="s">
        <v>88</v>
      </c>
    </row>
    <row r="19" spans="1:10">
      <c r="A19" t="s">
        <v>33</v>
      </c>
      <c r="B19">
        <v>1</v>
      </c>
      <c r="C19">
        <v>161602</v>
      </c>
      <c r="D19" s="5">
        <v>2.1999999999999999E-2</v>
      </c>
      <c r="E19">
        <v>2.5000000000000001E-2</v>
      </c>
      <c r="F19">
        <v>3601.42</v>
      </c>
      <c r="G19">
        <v>65.691999999999993</v>
      </c>
      <c r="H19">
        <v>39209905</v>
      </c>
      <c r="I19">
        <v>0.60699999999999998</v>
      </c>
      <c r="J19">
        <v>3.0000000000000001E-3</v>
      </c>
    </row>
    <row r="20" spans="1:10">
      <c r="A20" t="s">
        <v>33</v>
      </c>
      <c r="B20">
        <v>2</v>
      </c>
      <c r="C20">
        <v>163459</v>
      </c>
      <c r="D20" s="5">
        <v>2.1999999999999999E-2</v>
      </c>
      <c r="E20">
        <v>2.7E-2</v>
      </c>
      <c r="F20">
        <v>3571.6469999999999</v>
      </c>
      <c r="G20">
        <v>68.638999999999996</v>
      </c>
      <c r="H20">
        <v>39707974</v>
      </c>
      <c r="I20">
        <v>0.60699999999999998</v>
      </c>
      <c r="J20">
        <v>3.0000000000000001E-3</v>
      </c>
    </row>
    <row r="21" spans="1:10">
      <c r="A21" t="s">
        <v>33</v>
      </c>
      <c r="B21">
        <v>3</v>
      </c>
      <c r="C21">
        <v>190657</v>
      </c>
      <c r="D21" s="5">
        <v>2.1000000000000001E-2</v>
      </c>
      <c r="E21">
        <v>2.4E-2</v>
      </c>
      <c r="F21">
        <v>3962.9839999999999</v>
      </c>
      <c r="G21">
        <v>76.878</v>
      </c>
      <c r="H21">
        <v>46412881</v>
      </c>
      <c r="I21">
        <v>0.60699999999999998</v>
      </c>
      <c r="J21">
        <v>3.0000000000000001E-3</v>
      </c>
    </row>
    <row r="22" spans="1:10">
      <c r="A22" t="s">
        <v>33</v>
      </c>
      <c r="B22">
        <v>4</v>
      </c>
      <c r="C22">
        <v>216550</v>
      </c>
      <c r="D22" s="5">
        <v>3.1E-2</v>
      </c>
      <c r="E22">
        <v>2.8000000000000001E-2</v>
      </c>
      <c r="F22">
        <v>6616.87</v>
      </c>
      <c r="G22">
        <v>90.192999999999998</v>
      </c>
      <c r="H22">
        <v>51573272</v>
      </c>
      <c r="I22">
        <v>0.60699999999999998</v>
      </c>
      <c r="J22">
        <v>3.0000000000000001E-3</v>
      </c>
    </row>
    <row r="23" spans="1:10">
      <c r="A23" t="s">
        <v>33</v>
      </c>
      <c r="B23">
        <v>5</v>
      </c>
      <c r="C23">
        <v>240064</v>
      </c>
      <c r="D23" s="5">
        <v>2.5999999999999999E-2</v>
      </c>
      <c r="E23">
        <v>2.8000000000000001E-2</v>
      </c>
      <c r="F23">
        <v>6321.8940000000002</v>
      </c>
      <c r="G23">
        <v>100</v>
      </c>
      <c r="H23">
        <v>57727369</v>
      </c>
      <c r="I23">
        <v>0.60699999999999998</v>
      </c>
      <c r="J23">
        <v>3.0000000000000001E-3</v>
      </c>
    </row>
    <row r="24" spans="1:10">
      <c r="A24" t="s">
        <v>33</v>
      </c>
      <c r="B24">
        <v>6</v>
      </c>
      <c r="C24">
        <v>175482</v>
      </c>
      <c r="D24" s="5">
        <v>2.5999999999999999E-2</v>
      </c>
      <c r="E24">
        <v>3.9E-2</v>
      </c>
      <c r="F24">
        <v>4565.7060000000001</v>
      </c>
      <c r="G24">
        <v>74.305999999999997</v>
      </c>
      <c r="H24">
        <v>42289795</v>
      </c>
      <c r="I24">
        <v>0.60699999999999998</v>
      </c>
      <c r="J24">
        <v>3.0000000000000001E-3</v>
      </c>
    </row>
    <row r="25" spans="1:10">
      <c r="A25" t="s">
        <v>33</v>
      </c>
      <c r="B25">
        <v>7</v>
      </c>
      <c r="C25">
        <v>224947</v>
      </c>
      <c r="D25" s="5">
        <v>2.5000000000000001E-2</v>
      </c>
      <c r="E25">
        <v>2.5000000000000001E-2</v>
      </c>
      <c r="F25">
        <v>5701.5910000000003</v>
      </c>
      <c r="G25">
        <v>94.465000000000003</v>
      </c>
      <c r="H25">
        <v>54196828</v>
      </c>
      <c r="I25">
        <v>0.60699999999999998</v>
      </c>
      <c r="J25">
        <v>3.0000000000000001E-3</v>
      </c>
    </row>
    <row r="26" spans="1:10">
      <c r="A26" t="s">
        <v>33</v>
      </c>
      <c r="B26">
        <v>8</v>
      </c>
      <c r="C26">
        <v>161983</v>
      </c>
      <c r="D26" s="5">
        <v>2.8000000000000001E-2</v>
      </c>
      <c r="E26">
        <v>2.9000000000000001E-2</v>
      </c>
      <c r="F26">
        <v>4536.5990000000002</v>
      </c>
      <c r="G26">
        <v>67.465999999999994</v>
      </c>
      <c r="H26">
        <v>38808802</v>
      </c>
      <c r="I26">
        <v>0.60699999999999998</v>
      </c>
      <c r="J26">
        <v>3.0000000000000001E-3</v>
      </c>
    </row>
    <row r="27" spans="1:10">
      <c r="A27" t="s">
        <v>33</v>
      </c>
      <c r="B27">
        <v>9</v>
      </c>
      <c r="C27">
        <v>198954</v>
      </c>
      <c r="D27" s="5">
        <v>2.5000000000000001E-2</v>
      </c>
      <c r="E27">
        <v>2.7E-2</v>
      </c>
      <c r="F27">
        <v>4896.0860000000002</v>
      </c>
      <c r="G27">
        <v>82.875</v>
      </c>
      <c r="H27">
        <v>48024540</v>
      </c>
      <c r="I27">
        <v>0.60699999999999998</v>
      </c>
      <c r="J27">
        <v>3.0000000000000001E-3</v>
      </c>
    </row>
    <row r="28" spans="1:10">
      <c r="A28" t="s">
        <v>33</v>
      </c>
      <c r="B28">
        <v>10</v>
      </c>
      <c r="C28">
        <v>229156</v>
      </c>
      <c r="D28" s="5">
        <v>3.3000000000000002E-2</v>
      </c>
      <c r="E28">
        <v>2.8000000000000001E-2</v>
      </c>
      <c r="F28">
        <v>7544.9470000000001</v>
      </c>
      <c r="G28">
        <v>95.442999999999998</v>
      </c>
      <c r="H28">
        <v>54277259</v>
      </c>
      <c r="I28">
        <v>0.60699999999999998</v>
      </c>
      <c r="J28">
        <v>3.0000000000000001E-3</v>
      </c>
    </row>
    <row r="29" spans="1:10">
      <c r="A29" t="s">
        <v>33</v>
      </c>
      <c r="B29">
        <v>11</v>
      </c>
      <c r="C29">
        <v>236160</v>
      </c>
      <c r="D29" s="5">
        <v>3.6999999999999998E-2</v>
      </c>
      <c r="E29">
        <v>0.03</v>
      </c>
      <c r="F29">
        <v>8770.6790000000001</v>
      </c>
      <c r="G29">
        <v>100</v>
      </c>
      <c r="H29">
        <v>55410649</v>
      </c>
      <c r="I29">
        <v>0.60699999999999998</v>
      </c>
      <c r="J29">
        <v>3.0000000000000001E-3</v>
      </c>
    </row>
    <row r="30" spans="1:10">
      <c r="A30" t="s">
        <v>33</v>
      </c>
      <c r="B30">
        <v>12</v>
      </c>
      <c r="C30">
        <v>222164</v>
      </c>
      <c r="D30" s="5">
        <v>2.4E-2</v>
      </c>
      <c r="E30">
        <v>2.3E-2</v>
      </c>
      <c r="F30">
        <v>5424.5950000000003</v>
      </c>
      <c r="G30">
        <v>91.039000000000001</v>
      </c>
      <c r="H30">
        <v>53628449</v>
      </c>
      <c r="I30">
        <v>0.60699999999999998</v>
      </c>
      <c r="J30">
        <v>3.0000000000000001E-3</v>
      </c>
    </row>
    <row r="31" spans="1:10">
      <c r="A31" t="s">
        <v>33</v>
      </c>
      <c r="B31">
        <v>13</v>
      </c>
      <c r="C31">
        <v>206320</v>
      </c>
      <c r="D31" s="5">
        <v>2.5999999999999999E-2</v>
      </c>
      <c r="E31">
        <v>2.5999999999999999E-2</v>
      </c>
      <c r="F31">
        <v>5266.41</v>
      </c>
      <c r="G31">
        <v>88.129000000000005</v>
      </c>
      <c r="H31">
        <v>49690780</v>
      </c>
      <c r="I31">
        <v>0.60699999999999998</v>
      </c>
      <c r="J31">
        <v>3.0000000000000001E-3</v>
      </c>
    </row>
    <row r="32" spans="1:10">
      <c r="A32" t="s">
        <v>33</v>
      </c>
      <c r="B32">
        <v>14</v>
      </c>
      <c r="C32">
        <v>212649</v>
      </c>
      <c r="D32" s="5">
        <v>2.5000000000000001E-2</v>
      </c>
      <c r="E32">
        <v>2.4E-2</v>
      </c>
      <c r="F32">
        <v>5255.41</v>
      </c>
      <c r="G32">
        <v>87.847999999999999</v>
      </c>
      <c r="H32">
        <v>51303203</v>
      </c>
      <c r="I32">
        <v>0.60699999999999998</v>
      </c>
      <c r="J32">
        <v>3.0000000000000001E-3</v>
      </c>
    </row>
    <row r="38" spans="2:3">
      <c r="B38" t="s">
        <v>20</v>
      </c>
      <c r="C38">
        <f>_xlfn.T.TEST(D19:D32,D4:D15,2,2)</f>
        <v>0.13267220783290715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heetViews>
  <sheetFormatPr defaultRowHeight="15"/>
  <sheetData>
    <row r="1" spans="1:7" ht="15.75">
      <c r="A1" s="77" t="s">
        <v>542</v>
      </c>
    </row>
    <row r="3" spans="1:7">
      <c r="E3" t="s">
        <v>70</v>
      </c>
      <c r="G3" t="s">
        <v>71</v>
      </c>
    </row>
    <row r="4" spans="1:7">
      <c r="A4" t="s">
        <v>70</v>
      </c>
      <c r="B4" t="s">
        <v>72</v>
      </c>
      <c r="C4">
        <v>116.455</v>
      </c>
      <c r="E4">
        <f>C10-C4</f>
        <v>52.418999999999997</v>
      </c>
      <c r="G4">
        <f>E4/E14</f>
        <v>0.84654640590429731</v>
      </c>
    </row>
    <row r="5" spans="1:7">
      <c r="B5" t="s">
        <v>73</v>
      </c>
      <c r="C5">
        <v>122.43600000000001</v>
      </c>
      <c r="E5">
        <f>168.874-C5</f>
        <v>46.437999999999988</v>
      </c>
      <c r="G5">
        <f t="shared" ref="G5:G9" si="0">E5/E15</f>
        <v>0.70664678312739637</v>
      </c>
    </row>
    <row r="6" spans="1:7">
      <c r="B6" t="s">
        <v>74</v>
      </c>
      <c r="C6">
        <v>119.664</v>
      </c>
      <c r="E6">
        <f t="shared" ref="E6:E9" si="1">168.874-C6</f>
        <v>49.209999999999994</v>
      </c>
      <c r="G6">
        <f t="shared" si="0"/>
        <v>0.85697368650192396</v>
      </c>
    </row>
    <row r="7" spans="1:7">
      <c r="B7" t="s">
        <v>75</v>
      </c>
      <c r="C7">
        <v>108.619</v>
      </c>
      <c r="E7">
        <f t="shared" si="1"/>
        <v>60.254999999999995</v>
      </c>
      <c r="G7">
        <f t="shared" si="0"/>
        <v>0.90534144692359686</v>
      </c>
    </row>
    <row r="8" spans="1:7">
      <c r="B8" t="s">
        <v>76</v>
      </c>
      <c r="C8">
        <v>109.102</v>
      </c>
      <c r="E8">
        <f t="shared" si="1"/>
        <v>59.771999999999991</v>
      </c>
      <c r="G8">
        <f t="shared" si="0"/>
        <v>0.86368233968153019</v>
      </c>
    </row>
    <row r="9" spans="1:7">
      <c r="B9" t="s">
        <v>77</v>
      </c>
      <c r="C9">
        <v>117.07299999999999</v>
      </c>
      <c r="E9">
        <f t="shared" si="1"/>
        <v>51.801000000000002</v>
      </c>
      <c r="G9">
        <f t="shared" si="0"/>
        <v>0.79069802939874523</v>
      </c>
    </row>
    <row r="10" spans="1:7">
      <c r="B10" t="s">
        <v>78</v>
      </c>
      <c r="C10">
        <v>168.874</v>
      </c>
    </row>
    <row r="13" spans="1:7">
      <c r="E13" t="s">
        <v>79</v>
      </c>
    </row>
    <row r="14" spans="1:7">
      <c r="A14" t="s">
        <v>79</v>
      </c>
      <c r="B14" t="s">
        <v>72</v>
      </c>
      <c r="C14">
        <v>103.27200000000001</v>
      </c>
      <c r="E14">
        <f>165.193-C14</f>
        <v>61.921000000000006</v>
      </c>
    </row>
    <row r="15" spans="1:7">
      <c r="B15" t="s">
        <v>73</v>
      </c>
      <c r="C15">
        <v>99.477000000000004</v>
      </c>
      <c r="E15">
        <f t="shared" ref="E15:E19" si="2">165.193-C15</f>
        <v>65.716000000000008</v>
      </c>
    </row>
    <row r="16" spans="1:7">
      <c r="B16" t="s">
        <v>74</v>
      </c>
      <c r="C16">
        <v>107.77</v>
      </c>
      <c r="E16">
        <f t="shared" si="2"/>
        <v>57.423000000000016</v>
      </c>
    </row>
    <row r="17" spans="2:5">
      <c r="B17" t="s">
        <v>75</v>
      </c>
      <c r="C17">
        <v>98.638000000000005</v>
      </c>
      <c r="E17">
        <f t="shared" si="2"/>
        <v>66.555000000000007</v>
      </c>
    </row>
    <row r="18" spans="2:5">
      <c r="B18" t="s">
        <v>76</v>
      </c>
      <c r="C18">
        <v>95.986999999999995</v>
      </c>
      <c r="E18">
        <f t="shared" si="2"/>
        <v>69.206000000000017</v>
      </c>
    </row>
    <row r="19" spans="2:5">
      <c r="B19" t="s">
        <v>77</v>
      </c>
      <c r="C19">
        <v>99.68</v>
      </c>
      <c r="E19">
        <f t="shared" si="2"/>
        <v>65.513000000000005</v>
      </c>
    </row>
    <row r="20" spans="2:5">
      <c r="B20" t="s">
        <v>78</v>
      </c>
      <c r="C20">
        <v>165.19300000000001</v>
      </c>
    </row>
    <row r="23" spans="2:5">
      <c r="B23" t="s">
        <v>20</v>
      </c>
      <c r="C23">
        <f>_xlfn.T.TEST(G4:G6,G7:G9,2,2)</f>
        <v>0.44513524848323038</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1"/>
  <sheetViews>
    <sheetView workbookViewId="0"/>
  </sheetViews>
  <sheetFormatPr defaultRowHeight="15"/>
  <cols>
    <col min="1" max="1" width="14.140625" customWidth="1"/>
    <col min="2" max="2" width="19.42578125" style="31" customWidth="1"/>
  </cols>
  <sheetData>
    <row r="1" spans="1:2" ht="15.75">
      <c r="A1" s="75" t="s">
        <v>523</v>
      </c>
    </row>
    <row r="3" spans="1:2">
      <c r="A3" s="30" t="s">
        <v>519</v>
      </c>
      <c r="B3" s="30" t="s">
        <v>520</v>
      </c>
    </row>
    <row r="4" spans="1:2">
      <c r="A4" s="1">
        <v>31.962</v>
      </c>
      <c r="B4" s="1">
        <v>77.813999999999993</v>
      </c>
    </row>
    <row r="5" spans="1:2">
      <c r="A5" s="1">
        <v>62.722000000000001</v>
      </c>
      <c r="B5" s="1">
        <v>28.343</v>
      </c>
    </row>
    <row r="6" spans="1:2">
      <c r="A6" s="1">
        <v>40.103999999999999</v>
      </c>
      <c r="B6" s="1">
        <v>27.869</v>
      </c>
    </row>
    <row r="7" spans="1:2">
      <c r="A7" s="1">
        <v>26.899000000000001</v>
      </c>
      <c r="B7" s="1">
        <v>28.870999999999999</v>
      </c>
    </row>
    <row r="8" spans="1:2">
      <c r="A8" s="1">
        <v>68.555000000000007</v>
      </c>
      <c r="B8" s="1">
        <v>27.952999999999999</v>
      </c>
    </row>
    <row r="9" spans="1:2">
      <c r="A9" s="1">
        <v>20.498999999999999</v>
      </c>
      <c r="B9" s="1">
        <v>41.365000000000002</v>
      </c>
    </row>
    <row r="10" spans="1:2">
      <c r="A10" s="1">
        <v>12.537000000000001</v>
      </c>
      <c r="B10" s="1">
        <v>33.545999999999999</v>
      </c>
    </row>
    <row r="11" spans="1:2">
      <c r="A11" s="1">
        <v>17.853999999999999</v>
      </c>
      <c r="B11" s="1">
        <v>37.383000000000003</v>
      </c>
    </row>
    <row r="12" spans="1:2">
      <c r="A12" s="1">
        <v>27.148</v>
      </c>
      <c r="B12" s="1">
        <v>15.972</v>
      </c>
    </row>
    <row r="13" spans="1:2">
      <c r="A13" s="1">
        <v>29.861999999999998</v>
      </c>
      <c r="B13" s="1">
        <v>83.165000000000006</v>
      </c>
    </row>
    <row r="14" spans="1:2">
      <c r="A14" s="1">
        <v>82.328999999999994</v>
      </c>
      <c r="B14" s="1">
        <v>145.88399999999999</v>
      </c>
    </row>
    <row r="15" spans="1:2">
      <c r="A15" s="1">
        <v>45.54</v>
      </c>
      <c r="B15" s="1">
        <v>42.88</v>
      </c>
    </row>
    <row r="16" spans="1:2">
      <c r="A16" s="1">
        <v>15.762</v>
      </c>
      <c r="B16" s="1">
        <v>37.911000000000001</v>
      </c>
    </row>
    <row r="17" spans="1:2">
      <c r="A17" s="1">
        <v>17.091000000000001</v>
      </c>
      <c r="B17" s="1">
        <v>69.454999999999998</v>
      </c>
    </row>
    <row r="18" spans="1:2">
      <c r="A18" s="1">
        <v>42.606000000000002</v>
      </c>
      <c r="B18" s="1">
        <v>30.463999999999999</v>
      </c>
    </row>
    <row r="19" spans="1:2">
      <c r="A19" s="1">
        <v>22.667000000000002</v>
      </c>
      <c r="B19" s="1">
        <v>40.869</v>
      </c>
    </row>
    <row r="20" spans="1:2">
      <c r="A20" s="1">
        <v>21.99</v>
      </c>
      <c r="B20" s="1">
        <v>43.944000000000003</v>
      </c>
    </row>
    <row r="21" spans="1:2">
      <c r="A21" s="1">
        <v>33.328000000000003</v>
      </c>
      <c r="B21" s="1">
        <v>59.896999999999998</v>
      </c>
    </row>
    <row r="22" spans="1:2">
      <c r="A22" s="1">
        <v>24.542999999999999</v>
      </c>
      <c r="B22" s="1">
        <v>63.292999999999999</v>
      </c>
    </row>
    <row r="23" spans="1:2">
      <c r="A23" s="1">
        <v>24.012</v>
      </c>
      <c r="B23" s="1">
        <v>37.966000000000001</v>
      </c>
    </row>
    <row r="24" spans="1:2">
      <c r="A24" s="1">
        <v>17.036999999999999</v>
      </c>
      <c r="B24" s="1">
        <v>38.337000000000003</v>
      </c>
    </row>
    <row r="25" spans="1:2">
      <c r="A25" s="1">
        <v>30.317</v>
      </c>
      <c r="B25" s="1">
        <v>60.527000000000001</v>
      </c>
    </row>
    <row r="26" spans="1:2">
      <c r="A26" s="1">
        <v>16.773</v>
      </c>
      <c r="B26" s="1">
        <v>46.33</v>
      </c>
    </row>
    <row r="27" spans="1:2">
      <c r="A27" s="1">
        <v>57.951999999999998</v>
      </c>
      <c r="B27" s="1">
        <v>56.908000000000001</v>
      </c>
    </row>
    <row r="28" spans="1:2">
      <c r="A28" s="1">
        <v>34.091000000000001</v>
      </c>
      <c r="B28" s="1">
        <v>32.302</v>
      </c>
    </row>
    <row r="29" spans="1:2">
      <c r="A29" s="1">
        <v>23.161000000000001</v>
      </c>
      <c r="B29" s="1">
        <v>96.427000000000007</v>
      </c>
    </row>
    <row r="30" spans="1:2">
      <c r="A30" s="1">
        <v>39.043999999999997</v>
      </c>
      <c r="B30" s="1">
        <v>43.372999999999998</v>
      </c>
    </row>
    <row r="31" spans="1:2">
      <c r="A31" s="1">
        <v>21.564</v>
      </c>
      <c r="B31" s="1">
        <v>32.476999999999997</v>
      </c>
    </row>
    <row r="32" spans="1:2">
      <c r="A32" s="1">
        <v>46.695999999999998</v>
      </c>
      <c r="B32" s="1">
        <v>80.212000000000003</v>
      </c>
    </row>
    <row r="33" spans="1:2">
      <c r="A33" s="1">
        <v>64.051000000000002</v>
      </c>
      <c r="B33" s="1">
        <v>68.813000000000002</v>
      </c>
    </row>
    <row r="34" spans="1:2">
      <c r="A34" s="1">
        <v>27.739000000000001</v>
      </c>
      <c r="B34" s="1">
        <v>62.024999999999999</v>
      </c>
    </row>
    <row r="35" spans="1:2">
      <c r="A35" s="1">
        <v>13.807</v>
      </c>
      <c r="B35" s="1">
        <v>117.479</v>
      </c>
    </row>
    <row r="36" spans="1:2">
      <c r="A36" s="1">
        <v>25.933</v>
      </c>
      <c r="B36" s="1">
        <v>40.424999999999997</v>
      </c>
    </row>
    <row r="37" spans="1:2">
      <c r="A37" s="1">
        <v>19.579999999999998</v>
      </c>
      <c r="B37" s="1">
        <v>34.177999999999997</v>
      </c>
    </row>
    <row r="38" spans="1:2">
      <c r="A38" s="1">
        <v>11.821</v>
      </c>
      <c r="B38" s="1">
        <v>28.297999999999998</v>
      </c>
    </row>
    <row r="39" spans="1:2">
      <c r="A39" s="1">
        <v>43.228999999999999</v>
      </c>
      <c r="B39" s="1">
        <v>28.504999999999999</v>
      </c>
    </row>
    <row r="40" spans="1:2">
      <c r="A40" s="1">
        <v>21.462</v>
      </c>
      <c r="B40" s="1">
        <v>24.93</v>
      </c>
    </row>
    <row r="41" spans="1:2">
      <c r="A41" s="1">
        <v>29.251000000000001</v>
      </c>
      <c r="B41" s="1">
        <v>9.4190000000000005</v>
      </c>
    </row>
    <row r="42" spans="1:2">
      <c r="A42" s="1">
        <v>67.786000000000001</v>
      </c>
      <c r="B42" s="1">
        <v>9.0510000000000002</v>
      </c>
    </row>
    <row r="43" spans="1:2">
      <c r="A43" s="1">
        <v>31.172000000000001</v>
      </c>
      <c r="B43" s="1">
        <v>8.7889999999999997</v>
      </c>
    </row>
    <row r="44" spans="1:2">
      <c r="A44" s="1">
        <v>43.392000000000003</v>
      </c>
      <c r="B44" s="1">
        <v>73.218999999999994</v>
      </c>
    </row>
    <row r="45" spans="1:2">
      <c r="A45" s="1">
        <v>43.399000000000001</v>
      </c>
      <c r="B45" s="1">
        <v>22.67</v>
      </c>
    </row>
    <row r="46" spans="1:2">
      <c r="A46" s="1">
        <v>31.155999999999999</v>
      </c>
      <c r="B46" s="1">
        <v>19.478000000000002</v>
      </c>
    </row>
    <row r="47" spans="1:2">
      <c r="A47" s="1">
        <v>26.728999999999999</v>
      </c>
      <c r="B47" s="1">
        <v>18.297000000000001</v>
      </c>
    </row>
    <row r="48" spans="1:2">
      <c r="A48" s="1">
        <v>16.193000000000001</v>
      </c>
      <c r="B48" s="1">
        <v>15.246</v>
      </c>
    </row>
    <row r="49" spans="1:2">
      <c r="A49" s="1">
        <v>23.39</v>
      </c>
      <c r="B49" s="1">
        <v>57.826000000000001</v>
      </c>
    </row>
    <row r="50" spans="1:2">
      <c r="A50" s="1">
        <v>44.064999999999998</v>
      </c>
      <c r="B50" s="1">
        <v>45.744999999999997</v>
      </c>
    </row>
    <row r="51" spans="1:2">
      <c r="A51" s="1">
        <v>15.246</v>
      </c>
      <c r="B51" s="1">
        <v>35.686999999999998</v>
      </c>
    </row>
    <row r="52" spans="1:2">
      <c r="A52" s="1">
        <v>41.110999999999997</v>
      </c>
      <c r="B52" s="1">
        <v>27.158000000000001</v>
      </c>
    </row>
    <row r="53" spans="1:2">
      <c r="A53" s="1">
        <v>44.552</v>
      </c>
      <c r="B53" s="1">
        <v>56.752000000000002</v>
      </c>
    </row>
    <row r="54" spans="1:2">
      <c r="A54" s="1">
        <v>30.873000000000001</v>
      </c>
      <c r="B54" s="1">
        <v>33.935000000000002</v>
      </c>
    </row>
    <row r="55" spans="1:2">
      <c r="A55" s="1">
        <v>22.869</v>
      </c>
      <c r="B55" s="1">
        <v>79.906000000000006</v>
      </c>
    </row>
    <row r="56" spans="1:2">
      <c r="A56" s="1">
        <v>20.405999999999999</v>
      </c>
      <c r="B56" s="1"/>
    </row>
    <row r="57" spans="1:2">
      <c r="A57" s="1">
        <v>15.324999999999999</v>
      </c>
      <c r="B57" s="1"/>
    </row>
    <row r="58" spans="1:2">
      <c r="A58" s="1">
        <v>19.434999999999999</v>
      </c>
      <c r="B58" s="1"/>
    </row>
    <row r="59" spans="1:2">
      <c r="A59" s="1">
        <v>32.238</v>
      </c>
      <c r="B59" s="1"/>
    </row>
    <row r="60" spans="1:2">
      <c r="A60" s="1">
        <v>42.326999999999998</v>
      </c>
      <c r="B60" s="1"/>
    </row>
    <row r="61" spans="1:2">
      <c r="A61" s="1">
        <v>27.739000000000001</v>
      </c>
      <c r="B61" s="1"/>
    </row>
    <row r="62" spans="1:2">
      <c r="A62" s="1">
        <v>20.481999999999999</v>
      </c>
      <c r="B62" s="1"/>
    </row>
    <row r="63" spans="1:2">
      <c r="A63" s="1">
        <v>57.984000000000002</v>
      </c>
      <c r="B63" s="1"/>
    </row>
    <row r="64" spans="1:2">
      <c r="A64" s="32"/>
    </row>
    <row r="66" spans="1:1">
      <c r="A66" s="32">
        <f>_xlfn.T.TEST(A4:A63,B4:B55,2,2)</f>
        <v>1.3367902792110304E-3</v>
      </c>
    </row>
    <row r="67" spans="1:1">
      <c r="A67" s="32"/>
    </row>
    <row r="68" spans="1:1">
      <c r="A68" s="32"/>
    </row>
    <row r="69" spans="1:1">
      <c r="A69" s="32"/>
    </row>
    <row r="70" spans="1:1">
      <c r="A70" s="32"/>
    </row>
    <row r="71" spans="1:1">
      <c r="A71" s="32"/>
    </row>
    <row r="72" spans="1:1">
      <c r="A72" s="32"/>
    </row>
    <row r="73" spans="1:1">
      <c r="A73" s="32"/>
    </row>
    <row r="74" spans="1:1">
      <c r="A74" s="32"/>
    </row>
    <row r="75" spans="1:1">
      <c r="A75" s="32"/>
    </row>
    <row r="76" spans="1:1">
      <c r="A76" s="32"/>
    </row>
    <row r="77" spans="1:1">
      <c r="A77" s="32"/>
    </row>
    <row r="78" spans="1:1">
      <c r="A78" s="32"/>
    </row>
    <row r="79" spans="1:1">
      <c r="A79" s="32"/>
    </row>
    <row r="80" spans="1:1">
      <c r="A80" s="32"/>
    </row>
    <row r="81" spans="1:2">
      <c r="A81" s="32"/>
    </row>
    <row r="82" spans="1:2">
      <c r="A82" s="32"/>
    </row>
    <row r="83" spans="1:2">
      <c r="A83" s="32"/>
    </row>
    <row r="86" spans="1:2">
      <c r="A86" s="32"/>
    </row>
    <row r="87" spans="1:2">
      <c r="A87" s="32"/>
    </row>
    <row r="88" spans="1:2">
      <c r="A88" s="32"/>
    </row>
    <row r="89" spans="1:2">
      <c r="A89" s="32"/>
    </row>
    <row r="90" spans="1:2">
      <c r="A90" s="32"/>
    </row>
    <row r="91" spans="1:2">
      <c r="A91" s="32"/>
    </row>
    <row r="92" spans="1:2">
      <c r="A92" s="32"/>
    </row>
    <row r="93" spans="1:2">
      <c r="A93" s="32"/>
    </row>
    <row r="94" spans="1:2">
      <c r="A94" s="32"/>
    </row>
    <row r="95" spans="1:2">
      <c r="A95" s="32"/>
    </row>
    <row r="96" spans="1:2">
      <c r="A96" s="33">
        <f>AVERAGE(A4:A95)</f>
        <v>31.629316996561961</v>
      </c>
      <c r="B96" s="33">
        <f>AVERAGE(B4:B95)</f>
        <v>45.760923076923078</v>
      </c>
    </row>
    <row r="97" spans="1:1">
      <c r="A97" s="32"/>
    </row>
    <row r="98" spans="1:1">
      <c r="A98" s="32"/>
    </row>
    <row r="99" spans="1:1">
      <c r="A99" s="32"/>
    </row>
    <row r="100" spans="1:1">
      <c r="A100" s="32"/>
    </row>
    <row r="101" spans="1:1">
      <c r="A101" s="32"/>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1"/>
  <sheetViews>
    <sheetView zoomScale="85" zoomScaleNormal="85" workbookViewId="0"/>
  </sheetViews>
  <sheetFormatPr defaultRowHeight="15"/>
  <cols>
    <col min="1" max="1" width="35.42578125" customWidth="1"/>
  </cols>
  <sheetData>
    <row r="1" spans="1:12" ht="15.75">
      <c r="A1" s="75" t="s">
        <v>524</v>
      </c>
    </row>
    <row r="4" spans="1:12">
      <c r="A4" t="s">
        <v>486</v>
      </c>
      <c r="B4" t="s">
        <v>89</v>
      </c>
      <c r="C4" t="s">
        <v>89</v>
      </c>
      <c r="D4" t="s">
        <v>89</v>
      </c>
      <c r="E4" t="s">
        <v>89</v>
      </c>
      <c r="F4" t="s">
        <v>89</v>
      </c>
      <c r="H4" t="s">
        <v>33</v>
      </c>
      <c r="I4" t="s">
        <v>33</v>
      </c>
      <c r="J4" t="s">
        <v>33</v>
      </c>
      <c r="K4" t="s">
        <v>33</v>
      </c>
      <c r="L4" t="s">
        <v>33</v>
      </c>
    </row>
    <row r="5" spans="1:12">
      <c r="A5" t="s">
        <v>167</v>
      </c>
      <c r="B5" t="s">
        <v>0</v>
      </c>
      <c r="C5" t="s">
        <v>1</v>
      </c>
      <c r="D5" t="s">
        <v>2</v>
      </c>
      <c r="E5" t="s">
        <v>3</v>
      </c>
      <c r="F5" t="s">
        <v>4</v>
      </c>
      <c r="H5" t="s">
        <v>0</v>
      </c>
      <c r="I5" t="s">
        <v>1</v>
      </c>
      <c r="J5" t="s">
        <v>2</v>
      </c>
      <c r="K5" t="s">
        <v>3</v>
      </c>
      <c r="L5" t="s">
        <v>4</v>
      </c>
    </row>
    <row r="6" spans="1:12">
      <c r="A6" t="s">
        <v>168</v>
      </c>
      <c r="B6" s="49" t="s">
        <v>250</v>
      </c>
      <c r="C6" s="49" t="s">
        <v>200</v>
      </c>
      <c r="D6" s="49" t="s">
        <v>251</v>
      </c>
      <c r="E6" s="49" t="s">
        <v>202</v>
      </c>
      <c r="F6" s="49" t="s">
        <v>252</v>
      </c>
      <c r="G6" s="50"/>
      <c r="H6" s="51" t="s">
        <v>253</v>
      </c>
      <c r="I6" s="51" t="s">
        <v>254</v>
      </c>
      <c r="J6" s="51" t="s">
        <v>255</v>
      </c>
      <c r="K6" s="51" t="s">
        <v>256</v>
      </c>
      <c r="L6" s="51" t="s">
        <v>251</v>
      </c>
    </row>
    <row r="7" spans="1:12">
      <c r="A7" t="s">
        <v>179</v>
      </c>
      <c r="B7" s="49" t="s">
        <v>257</v>
      </c>
      <c r="C7" s="49" t="s">
        <v>251</v>
      </c>
      <c r="D7" s="49" t="s">
        <v>206</v>
      </c>
      <c r="E7" s="49" t="s">
        <v>258</v>
      </c>
      <c r="F7" s="49" t="s">
        <v>259</v>
      </c>
      <c r="G7" s="50"/>
      <c r="H7" s="51" t="s">
        <v>169</v>
      </c>
      <c r="I7" s="51" t="s">
        <v>212</v>
      </c>
      <c r="J7" s="49" t="s">
        <v>260</v>
      </c>
      <c r="K7" s="51" t="s">
        <v>252</v>
      </c>
      <c r="L7" s="51" t="s">
        <v>261</v>
      </c>
    </row>
    <row r="8" spans="1:12">
      <c r="A8" t="s">
        <v>190</v>
      </c>
      <c r="B8" s="49" t="s">
        <v>262</v>
      </c>
      <c r="C8" s="49" t="s">
        <v>263</v>
      </c>
      <c r="D8" s="49" t="s">
        <v>259</v>
      </c>
      <c r="E8" s="49" t="s">
        <v>256</v>
      </c>
      <c r="F8" s="49" t="s">
        <v>261</v>
      </c>
      <c r="G8" s="50"/>
      <c r="H8" s="51" t="s">
        <v>264</v>
      </c>
      <c r="I8" s="51" t="s">
        <v>225</v>
      </c>
      <c r="J8" s="49" t="s">
        <v>227</v>
      </c>
      <c r="K8" s="51" t="s">
        <v>265</v>
      </c>
      <c r="L8" s="51" t="s">
        <v>266</v>
      </c>
    </row>
    <row r="9" spans="1:12">
      <c r="A9" t="s">
        <v>199</v>
      </c>
      <c r="B9" s="49" t="s">
        <v>242</v>
      </c>
      <c r="C9" s="49" t="s">
        <v>267</v>
      </c>
      <c r="D9" s="49" t="s">
        <v>247</v>
      </c>
      <c r="E9" s="49" t="s">
        <v>261</v>
      </c>
      <c r="F9" s="49" t="s">
        <v>266</v>
      </c>
      <c r="G9" s="50"/>
      <c r="H9" s="51" t="s">
        <v>233</v>
      </c>
      <c r="I9" s="51" t="s">
        <v>268</v>
      </c>
      <c r="J9" s="49" t="s">
        <v>269</v>
      </c>
      <c r="K9" s="51" t="s">
        <v>258</v>
      </c>
      <c r="L9" s="51" t="s">
        <v>270</v>
      </c>
    </row>
    <row r="10" spans="1:12">
      <c r="A10" t="s">
        <v>208</v>
      </c>
      <c r="B10" s="49" t="s">
        <v>268</v>
      </c>
      <c r="C10" s="49" t="s">
        <v>271</v>
      </c>
      <c r="D10" s="49" t="s">
        <v>266</v>
      </c>
      <c r="E10" s="49" t="s">
        <v>272</v>
      </c>
      <c r="F10" s="49" t="s">
        <v>273</v>
      </c>
      <c r="G10" s="50"/>
      <c r="H10" s="51" t="s">
        <v>221</v>
      </c>
      <c r="I10" s="51" t="s">
        <v>274</v>
      </c>
      <c r="J10" s="49" t="s">
        <v>258</v>
      </c>
      <c r="K10" s="51" t="s">
        <v>175</v>
      </c>
      <c r="L10" s="51" t="s">
        <v>261</v>
      </c>
    </row>
    <row r="11" spans="1:12">
      <c r="A11" t="s">
        <v>216</v>
      </c>
      <c r="B11" s="49" t="s">
        <v>260</v>
      </c>
      <c r="C11" s="49" t="s">
        <v>272</v>
      </c>
      <c r="D11" s="49" t="s">
        <v>263</v>
      </c>
      <c r="E11" s="49" t="s">
        <v>275</v>
      </c>
      <c r="F11" s="49" t="s">
        <v>276</v>
      </c>
      <c r="G11" s="50"/>
      <c r="H11" s="51" t="s">
        <v>277</v>
      </c>
      <c r="I11" s="51" t="s">
        <v>269</v>
      </c>
      <c r="J11" s="49" t="s">
        <v>278</v>
      </c>
      <c r="K11" s="51" t="s">
        <v>248</v>
      </c>
      <c r="L11" s="51" t="s">
        <v>273</v>
      </c>
    </row>
    <row r="12" spans="1:12">
      <c r="A12" t="s">
        <v>224</v>
      </c>
      <c r="B12" s="49" t="s">
        <v>200</v>
      </c>
      <c r="C12" s="49" t="s">
        <v>263</v>
      </c>
      <c r="D12" s="49" t="s">
        <v>272</v>
      </c>
      <c r="E12" s="49" t="s">
        <v>255</v>
      </c>
      <c r="F12" s="49" t="s">
        <v>279</v>
      </c>
      <c r="G12" s="50"/>
      <c r="H12" s="51" t="s">
        <v>221</v>
      </c>
      <c r="I12" s="51" t="s">
        <v>193</v>
      </c>
      <c r="J12" s="49" t="s">
        <v>218</v>
      </c>
      <c r="K12" s="51" t="s">
        <v>202</v>
      </c>
      <c r="L12" s="51" t="s">
        <v>265</v>
      </c>
    </row>
    <row r="13" spans="1:12">
      <c r="A13" t="s">
        <v>231</v>
      </c>
      <c r="B13" s="49" t="s">
        <v>255</v>
      </c>
      <c r="C13" s="49" t="s">
        <v>236</v>
      </c>
      <c r="D13" s="49" t="s">
        <v>227</v>
      </c>
      <c r="E13" s="49" t="s">
        <v>272</v>
      </c>
      <c r="F13" s="49" t="s">
        <v>202</v>
      </c>
      <c r="G13" s="50"/>
      <c r="H13" s="51" t="s">
        <v>206</v>
      </c>
      <c r="I13" s="51" t="s">
        <v>202</v>
      </c>
      <c r="J13" s="49" t="s">
        <v>206</v>
      </c>
      <c r="K13" s="51" t="s">
        <v>266</v>
      </c>
      <c r="L13" s="51" t="s">
        <v>248</v>
      </c>
    </row>
    <row r="14" spans="1:12">
      <c r="A14" t="s">
        <v>238</v>
      </c>
      <c r="B14" s="49" t="s">
        <v>280</v>
      </c>
      <c r="C14" s="49" t="s">
        <v>206</v>
      </c>
      <c r="D14" s="49" t="s">
        <v>232</v>
      </c>
      <c r="E14" s="49" t="s">
        <v>276</v>
      </c>
      <c r="F14" s="49" t="s">
        <v>261</v>
      </c>
      <c r="G14" s="43"/>
      <c r="H14" s="51" t="s">
        <v>278</v>
      </c>
      <c r="I14" s="51" t="s">
        <v>227</v>
      </c>
      <c r="J14" s="49" t="s">
        <v>281</v>
      </c>
      <c r="K14" s="51" t="s">
        <v>251</v>
      </c>
      <c r="L14" s="51" t="s">
        <v>251</v>
      </c>
    </row>
    <row r="15" spans="1:12">
      <c r="A15" t="s">
        <v>245</v>
      </c>
      <c r="B15" s="49" t="s">
        <v>239</v>
      </c>
      <c r="C15" s="49" t="s">
        <v>282</v>
      </c>
      <c r="D15" s="49" t="s">
        <v>225</v>
      </c>
      <c r="E15" s="49" t="s">
        <v>255</v>
      </c>
      <c r="F15" s="49" t="s">
        <v>273</v>
      </c>
      <c r="G15" s="43"/>
      <c r="H15" s="51" t="s">
        <v>283</v>
      </c>
      <c r="I15" s="51" t="s">
        <v>284</v>
      </c>
      <c r="J15" s="49" t="s">
        <v>285</v>
      </c>
      <c r="K15" s="51" t="s">
        <v>266</v>
      </c>
      <c r="L15" s="51" t="s">
        <v>202</v>
      </c>
    </row>
    <row r="16" spans="1:12">
      <c r="G16" s="52"/>
      <c r="H16" s="53"/>
      <c r="I16" s="53"/>
      <c r="J16" s="53"/>
      <c r="K16" s="53"/>
      <c r="L16" s="53"/>
    </row>
    <row r="17" spans="1:12">
      <c r="B17" t="s">
        <v>89</v>
      </c>
      <c r="C17" t="s">
        <v>89</v>
      </c>
      <c r="D17" t="s">
        <v>89</v>
      </c>
      <c r="E17" t="s">
        <v>89</v>
      </c>
      <c r="F17" t="s">
        <v>89</v>
      </c>
      <c r="H17" t="s">
        <v>33</v>
      </c>
      <c r="I17" t="s">
        <v>33</v>
      </c>
      <c r="J17" t="s">
        <v>33</v>
      </c>
      <c r="K17" t="s">
        <v>33</v>
      </c>
      <c r="L17" t="s">
        <v>33</v>
      </c>
    </row>
    <row r="18" spans="1:12">
      <c r="A18" t="s">
        <v>249</v>
      </c>
      <c r="B18" t="s">
        <v>0</v>
      </c>
      <c r="C18" t="s">
        <v>1</v>
      </c>
      <c r="D18" t="s">
        <v>2</v>
      </c>
      <c r="E18" t="s">
        <v>3</v>
      </c>
      <c r="F18" t="s">
        <v>4</v>
      </c>
      <c r="H18" t="s">
        <v>0</v>
      </c>
      <c r="I18" t="s">
        <v>1</v>
      </c>
      <c r="J18" t="s">
        <v>2</v>
      </c>
      <c r="K18" t="s">
        <v>3</v>
      </c>
      <c r="L18" t="s">
        <v>4</v>
      </c>
    </row>
    <row r="19" spans="1:12">
      <c r="A19" t="s">
        <v>168</v>
      </c>
      <c r="B19" s="47">
        <f>4/32</f>
        <v>0.125</v>
      </c>
      <c r="C19" s="47">
        <f>3/24</f>
        <v>0.125</v>
      </c>
      <c r="D19" s="47">
        <f>2/11</f>
        <v>0.18181818181818182</v>
      </c>
      <c r="E19" s="47">
        <f>2/10</f>
        <v>0.2</v>
      </c>
      <c r="F19" s="47">
        <f>2/18</f>
        <v>0.1111111111111111</v>
      </c>
      <c r="G19" s="47"/>
      <c r="H19" s="47">
        <f>4/35</f>
        <v>0.11428571428571428</v>
      </c>
      <c r="I19" s="47">
        <f>3/23</f>
        <v>0.13043478260869565</v>
      </c>
      <c r="J19" s="47">
        <f>2/14</f>
        <v>0.14285714285714285</v>
      </c>
      <c r="K19" s="47">
        <f>2/15</f>
        <v>0.13333333333333333</v>
      </c>
      <c r="L19" s="47">
        <f>2/11</f>
        <v>0.18181818181818182</v>
      </c>
    </row>
    <row r="20" spans="1:12">
      <c r="A20" t="s">
        <v>179</v>
      </c>
      <c r="B20" s="47">
        <f>3/21</f>
        <v>0.14285714285714285</v>
      </c>
      <c r="C20" s="47">
        <f>2/11</f>
        <v>0.18181818181818182</v>
      </c>
      <c r="D20" s="47">
        <f>3/19</f>
        <v>0.15789473684210525</v>
      </c>
      <c r="E20" s="47">
        <f>3/16</f>
        <v>0.1875</v>
      </c>
      <c r="F20" s="47">
        <f>2/13</f>
        <v>0.15384615384615385</v>
      </c>
      <c r="G20" s="47"/>
      <c r="H20" s="47">
        <f>5/29</f>
        <v>0.17241379310344829</v>
      </c>
      <c r="I20" s="47">
        <f>4/28</f>
        <v>0.14285714285714285</v>
      </c>
      <c r="J20" s="47">
        <f>3/17</f>
        <v>0.17647058823529413</v>
      </c>
      <c r="K20" s="47">
        <f>2/8</f>
        <v>0.25</v>
      </c>
      <c r="L20" s="47">
        <f>1/7</f>
        <v>0.14285714285714285</v>
      </c>
    </row>
    <row r="21" spans="1:12">
      <c r="A21" t="s">
        <v>190</v>
      </c>
      <c r="B21" s="47">
        <f>3/18</f>
        <v>0.16666666666666666</v>
      </c>
      <c r="C21" s="47">
        <f>2/16</f>
        <v>0.125</v>
      </c>
      <c r="D21" s="47">
        <f>2/13</f>
        <v>0.15384615384615385</v>
      </c>
      <c r="E21" s="47">
        <f>2/15</f>
        <v>0.13333333333333333</v>
      </c>
      <c r="F21" s="47">
        <f>1/7</f>
        <v>0.14285714285714285</v>
      </c>
      <c r="G21" s="47"/>
      <c r="H21" s="47">
        <f>6/28</f>
        <v>0.21428571428571427</v>
      </c>
      <c r="I21" s="47">
        <f>4/21</f>
        <v>0.19047619047619047</v>
      </c>
      <c r="J21" s="47">
        <f>3/20</f>
        <v>0.15</v>
      </c>
      <c r="K21" s="47">
        <f>1/5</f>
        <v>0.2</v>
      </c>
      <c r="L21" s="47">
        <f>2/9</f>
        <v>0.22222222222222221</v>
      </c>
    </row>
    <row r="22" spans="1:12">
      <c r="A22" t="s">
        <v>199</v>
      </c>
      <c r="B22" s="47">
        <f>4/26</f>
        <v>0.15384615384615385</v>
      </c>
      <c r="C22" s="47">
        <f>4/22</f>
        <v>0.18181818181818182</v>
      </c>
      <c r="D22" s="47">
        <f>3/22</f>
        <v>0.13636363636363635</v>
      </c>
      <c r="E22" s="47">
        <f>1/7</f>
        <v>0.14285714285714285</v>
      </c>
      <c r="F22" s="47">
        <f>2/9</f>
        <v>0.22222222222222221</v>
      </c>
      <c r="G22" s="47"/>
      <c r="H22" s="47">
        <f>7/28</f>
        <v>0.25</v>
      </c>
      <c r="I22" s="47">
        <f>5/25</f>
        <v>0.2</v>
      </c>
      <c r="J22" s="47">
        <f>4/23</f>
        <v>0.17391304347826086</v>
      </c>
      <c r="K22" s="47">
        <f>3/16</f>
        <v>0.1875</v>
      </c>
      <c r="L22" s="47">
        <f>0/6</f>
        <v>0</v>
      </c>
    </row>
    <row r="23" spans="1:12">
      <c r="A23" t="s">
        <v>208</v>
      </c>
      <c r="B23" s="47">
        <f>5/25</f>
        <v>0.2</v>
      </c>
      <c r="C23" s="47">
        <f>3/27</f>
        <v>0.1111111111111111</v>
      </c>
      <c r="D23" s="47">
        <f>2/9</f>
        <v>0.22222222222222221</v>
      </c>
      <c r="E23" s="47">
        <f>3/15</f>
        <v>0.2</v>
      </c>
      <c r="F23" s="47">
        <f>1/8</f>
        <v>0.125</v>
      </c>
      <c r="G23" s="47"/>
      <c r="H23" s="47">
        <f>5/26</f>
        <v>0.19230769230769232</v>
      </c>
      <c r="I23" s="47">
        <f>6/31</f>
        <v>0.19354838709677419</v>
      </c>
      <c r="J23" s="47">
        <f>3/16</f>
        <v>0.1875</v>
      </c>
      <c r="K23" s="47">
        <f>3/13</f>
        <v>0.23076923076923078</v>
      </c>
      <c r="L23" s="47">
        <f>1/7</f>
        <v>0.14285714285714285</v>
      </c>
    </row>
    <row r="24" spans="1:12">
      <c r="A24" t="s">
        <v>216</v>
      </c>
      <c r="B24" s="47">
        <f>3/17</f>
        <v>0.17647058823529413</v>
      </c>
      <c r="C24" s="47">
        <f>3/15</f>
        <v>0.2</v>
      </c>
      <c r="D24" s="47">
        <f>2/16</f>
        <v>0.125</v>
      </c>
      <c r="E24" s="47">
        <f>2/12</f>
        <v>0.16666666666666666</v>
      </c>
      <c r="F24">
        <f>1/9</f>
        <v>0.1111111111111111</v>
      </c>
      <c r="G24" s="47"/>
      <c r="H24" s="47">
        <f>6/30</f>
        <v>0.2</v>
      </c>
      <c r="I24" s="47">
        <f>4/23</f>
        <v>0.17391304347826086</v>
      </c>
      <c r="J24" s="47">
        <f>4/25</f>
        <v>0.16</v>
      </c>
      <c r="K24" s="47">
        <f>3/12</f>
        <v>0.25</v>
      </c>
      <c r="L24" s="47">
        <f>1/8</f>
        <v>0.125</v>
      </c>
    </row>
    <row r="25" spans="1:12">
      <c r="A25" t="s">
        <v>224</v>
      </c>
      <c r="B25" s="47">
        <f>3/24</f>
        <v>0.125</v>
      </c>
      <c r="C25" s="47">
        <f>2/16</f>
        <v>0.125</v>
      </c>
      <c r="D25" s="47">
        <f>3/15</f>
        <v>0.2</v>
      </c>
      <c r="E25" s="47">
        <f>2/14</f>
        <v>0.14285714285714285</v>
      </c>
      <c r="F25">
        <f>1/6</f>
        <v>0.16666666666666666</v>
      </c>
      <c r="G25" s="47"/>
      <c r="H25" s="47">
        <f>5/26</f>
        <v>0.19230769230769232</v>
      </c>
      <c r="I25" s="47">
        <f>4/17</f>
        <v>0.23529411764705882</v>
      </c>
      <c r="J25">
        <f>5/24</f>
        <v>0.20833333333333334</v>
      </c>
      <c r="K25" s="47">
        <f>2/10</f>
        <v>0.2</v>
      </c>
      <c r="L25" s="47">
        <f>1/5</f>
        <v>0.2</v>
      </c>
    </row>
    <row r="26" spans="1:12">
      <c r="A26" t="s">
        <v>231</v>
      </c>
      <c r="B26" s="47">
        <f>2/14</f>
        <v>0.14285714285714285</v>
      </c>
      <c r="C26" s="47">
        <f>5/23</f>
        <v>0.21739130434782608</v>
      </c>
      <c r="D26" s="47">
        <f>3/20</f>
        <v>0.15</v>
      </c>
      <c r="E26" s="47">
        <f>3/15</f>
        <v>0.2</v>
      </c>
      <c r="F26" s="47">
        <f>2/10</f>
        <v>0.2</v>
      </c>
      <c r="G26" s="47"/>
      <c r="H26" s="47">
        <f>3/19</f>
        <v>0.15789473684210525</v>
      </c>
      <c r="I26" s="47">
        <f>2/10</f>
        <v>0.2</v>
      </c>
      <c r="J26" s="47">
        <f>3/19</f>
        <v>0.15789473684210525</v>
      </c>
      <c r="K26" s="47">
        <f>2/9</f>
        <v>0.22222222222222221</v>
      </c>
      <c r="L26" s="47">
        <f>3/12</f>
        <v>0.25</v>
      </c>
    </row>
    <row r="27" spans="1:12">
      <c r="A27" t="s">
        <v>238</v>
      </c>
      <c r="B27" s="47">
        <f>2/25</f>
        <v>0.08</v>
      </c>
      <c r="C27" s="47">
        <f>3/19</f>
        <v>0.15789473684210525</v>
      </c>
      <c r="D27">
        <f>2/19</f>
        <v>0.10526315789473684</v>
      </c>
      <c r="E27" s="47">
        <f>1/9</f>
        <v>0.1111111111111111</v>
      </c>
      <c r="F27" s="47">
        <f>1/7</f>
        <v>0.14285714285714285</v>
      </c>
      <c r="G27" s="47"/>
      <c r="H27" s="47">
        <f>4/25</f>
        <v>0.16</v>
      </c>
      <c r="I27" s="47">
        <f>3/20</f>
        <v>0.15</v>
      </c>
      <c r="J27" s="47">
        <f>4/24</f>
        <v>0.16666666666666666</v>
      </c>
      <c r="K27" s="47">
        <f>2/11</f>
        <v>0.18181818181818182</v>
      </c>
      <c r="L27" s="47">
        <f>2/11</f>
        <v>0.18181818181818182</v>
      </c>
    </row>
    <row r="28" spans="1:12">
      <c r="A28" t="s">
        <v>245</v>
      </c>
      <c r="B28" s="47">
        <f>5/28</f>
        <v>0.17857142857142858</v>
      </c>
      <c r="C28" s="47">
        <f>2/17</f>
        <v>0.11764705882352941</v>
      </c>
      <c r="D28" s="47">
        <f>4/21</f>
        <v>0.19047619047619047</v>
      </c>
      <c r="E28" s="47">
        <f>2/14</f>
        <v>0.14285714285714285</v>
      </c>
      <c r="F28" s="47">
        <f>1/8</f>
        <v>0.125</v>
      </c>
      <c r="G28" s="47"/>
      <c r="H28" s="47">
        <f>5/27</f>
        <v>0.18518518518518517</v>
      </c>
      <c r="I28" s="47">
        <f>4/19</f>
        <v>0.21052631578947367</v>
      </c>
      <c r="J28" s="47">
        <f>5/21</f>
        <v>0.23809523809523808</v>
      </c>
      <c r="K28" s="47">
        <f>2/9</f>
        <v>0.22222222222222221</v>
      </c>
      <c r="L28" s="47">
        <f>2/10</f>
        <v>0.2</v>
      </c>
    </row>
    <row r="32" spans="1:12">
      <c r="A32" t="s">
        <v>135</v>
      </c>
    </row>
    <row r="33" spans="1:2">
      <c r="A33" t="s">
        <v>286</v>
      </c>
      <c r="B33">
        <v>0.75619039453881465</v>
      </c>
    </row>
    <row r="34" spans="1:2">
      <c r="A34" t="s">
        <v>287</v>
      </c>
      <c r="B34">
        <v>0.41404496747006658</v>
      </c>
    </row>
    <row r="35" spans="1:2">
      <c r="A35" t="s">
        <v>288</v>
      </c>
      <c r="B35">
        <v>0.37470029896539947</v>
      </c>
    </row>
    <row r="36" spans="1:2">
      <c r="A36" t="s">
        <v>289</v>
      </c>
      <c r="B36">
        <v>0.95368545556834305</v>
      </c>
    </row>
    <row r="38" spans="1:2">
      <c r="A38" t="s">
        <v>290</v>
      </c>
      <c r="B38">
        <v>0.94112327871000534</v>
      </c>
    </row>
    <row r="39" spans="1:2">
      <c r="A39" t="s">
        <v>291</v>
      </c>
      <c r="B39">
        <v>0.60662363904794825</v>
      </c>
    </row>
    <row r="40" spans="1:2">
      <c r="A40" t="s">
        <v>292</v>
      </c>
      <c r="B40">
        <v>0.15343622897013601</v>
      </c>
    </row>
    <row r="41" spans="1:2">
      <c r="A41" t="s">
        <v>293</v>
      </c>
      <c r="B41">
        <v>0.44815691568481297</v>
      </c>
    </row>
    <row r="43" spans="1:2">
      <c r="A43" t="s">
        <v>295</v>
      </c>
      <c r="B43" s="5">
        <f>_xlfn.T.TEST(B19:B28,H19:H28,2,2)</f>
        <v>4.1233412113972329E-2</v>
      </c>
    </row>
    <row r="45" spans="1:2">
      <c r="A45" s="54"/>
    </row>
    <row r="46" spans="1:2">
      <c r="A46" s="54"/>
      <c r="B46" s="1"/>
    </row>
    <row r="47" spans="1:2">
      <c r="A47" s="54" t="s">
        <v>304</v>
      </c>
      <c r="B47" s="1"/>
    </row>
    <row r="48" spans="1:2">
      <c r="A48" s="54" t="s">
        <v>296</v>
      </c>
      <c r="B48" s="1"/>
    </row>
    <row r="49" spans="1:2">
      <c r="A49" s="54" t="s">
        <v>297</v>
      </c>
      <c r="B49" s="1">
        <v>0.33150000000000002</v>
      </c>
    </row>
    <row r="50" spans="1:2">
      <c r="A50" s="54" t="s">
        <v>298</v>
      </c>
      <c r="B50" s="78">
        <v>0.85529999999999995</v>
      </c>
    </row>
    <row r="51" spans="1:2">
      <c r="A51" s="54" t="s">
        <v>299</v>
      </c>
      <c r="B51" s="1" t="s">
        <v>300</v>
      </c>
    </row>
    <row r="52" spans="1:2">
      <c r="A52" s="54" t="s">
        <v>301</v>
      </c>
      <c r="B52" s="1" t="s">
        <v>302</v>
      </c>
    </row>
    <row r="53" spans="1:2">
      <c r="A53" s="54" t="s">
        <v>303</v>
      </c>
      <c r="B53" s="1">
        <v>2.862E-2</v>
      </c>
    </row>
    <row r="55" spans="1:2">
      <c r="A55" s="54" t="s">
        <v>305</v>
      </c>
    </row>
    <row r="56" spans="1:2">
      <c r="A56" s="54" t="s">
        <v>296</v>
      </c>
      <c r="B56" s="1"/>
    </row>
    <row r="57" spans="1:2">
      <c r="A57" s="54" t="s">
        <v>297</v>
      </c>
      <c r="B57" s="1">
        <v>1.2689999999999999</v>
      </c>
    </row>
    <row r="58" spans="1:2">
      <c r="A58" s="54" t="s">
        <v>298</v>
      </c>
      <c r="B58" s="78">
        <v>0.29620000000000002</v>
      </c>
    </row>
    <row r="59" spans="1:2">
      <c r="A59" s="54" t="s">
        <v>299</v>
      </c>
      <c r="B59" s="1" t="s">
        <v>300</v>
      </c>
    </row>
    <row r="60" spans="1:2">
      <c r="A60" s="54" t="s">
        <v>301</v>
      </c>
      <c r="B60" s="1" t="s">
        <v>302</v>
      </c>
    </row>
    <row r="61" spans="1:2">
      <c r="A61" s="54" t="s">
        <v>303</v>
      </c>
      <c r="B61" s="1">
        <v>0.1014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8"/>
  <sheetViews>
    <sheetView zoomScale="85" zoomScaleNormal="85" workbookViewId="0"/>
  </sheetViews>
  <sheetFormatPr defaultRowHeight="15"/>
  <cols>
    <col min="1" max="1" width="19.85546875" style="12" customWidth="1"/>
    <col min="2" max="2" width="10.28515625" style="12" customWidth="1"/>
    <col min="3" max="3" width="12.140625" style="12" customWidth="1"/>
    <col min="4" max="5" width="9.140625" style="12"/>
    <col min="6" max="6" width="11.42578125" style="12" customWidth="1"/>
    <col min="7" max="7" width="9.5703125" style="12" customWidth="1"/>
    <col min="8" max="8" width="23.28515625" style="12" customWidth="1"/>
    <col min="9" max="9" width="12.28515625" style="12" customWidth="1"/>
  </cols>
  <sheetData>
    <row r="1" spans="1:15" ht="15.75">
      <c r="A1" s="74" t="s">
        <v>526</v>
      </c>
    </row>
    <row r="3" spans="1:15">
      <c r="A3" s="59" t="s">
        <v>484</v>
      </c>
      <c r="B3" s="66" t="s">
        <v>393</v>
      </c>
      <c r="C3" s="66" t="s">
        <v>249</v>
      </c>
      <c r="D3" s="67" t="s">
        <v>394</v>
      </c>
      <c r="E3" s="67" t="s">
        <v>394</v>
      </c>
      <c r="H3" s="59" t="s">
        <v>483</v>
      </c>
      <c r="I3" s="24" t="s">
        <v>395</v>
      </c>
      <c r="J3" s="66" t="s">
        <v>393</v>
      </c>
      <c r="K3" s="66" t="s">
        <v>249</v>
      </c>
      <c r="L3" s="66" t="s">
        <v>394</v>
      </c>
      <c r="M3" s="67" t="s">
        <v>394</v>
      </c>
      <c r="N3" s="12"/>
      <c r="O3" s="1"/>
    </row>
    <row r="4" spans="1:15">
      <c r="A4" s="60" t="s">
        <v>398</v>
      </c>
      <c r="B4" s="60">
        <v>1</v>
      </c>
      <c r="C4" s="60">
        <v>80</v>
      </c>
      <c r="D4" s="60">
        <v>80</v>
      </c>
      <c r="E4" s="60">
        <f>D4*0.01</f>
        <v>0.8</v>
      </c>
      <c r="H4" s="60" t="s">
        <v>398</v>
      </c>
      <c r="I4" s="24" t="s">
        <v>396</v>
      </c>
      <c r="J4" s="60">
        <v>3</v>
      </c>
      <c r="K4" s="60">
        <v>80</v>
      </c>
      <c r="L4" s="60">
        <f>J4*K4</f>
        <v>240</v>
      </c>
      <c r="M4" s="60">
        <f>L4*0.01</f>
        <v>2.4</v>
      </c>
      <c r="N4" s="12"/>
      <c r="O4" s="1"/>
    </row>
    <row r="5" spans="1:15">
      <c r="A5" s="60" t="s">
        <v>399</v>
      </c>
      <c r="B5" s="60">
        <v>1</v>
      </c>
      <c r="C5" s="60">
        <v>50</v>
      </c>
      <c r="D5" s="60">
        <f>B5*C5</f>
        <v>50</v>
      </c>
      <c r="E5" s="60">
        <f>D5*0.01</f>
        <v>0.5</v>
      </c>
      <c r="H5" s="60" t="s">
        <v>399</v>
      </c>
      <c r="I5" s="24" t="s">
        <v>397</v>
      </c>
      <c r="J5" s="60">
        <v>2</v>
      </c>
      <c r="K5" s="60">
        <v>80</v>
      </c>
      <c r="L5" s="60">
        <v>160</v>
      </c>
      <c r="M5" s="60">
        <f t="shared" ref="M5:M14" si="0">L5*0.01</f>
        <v>1.6</v>
      </c>
      <c r="N5" s="12"/>
      <c r="O5" s="1"/>
    </row>
    <row r="6" spans="1:15">
      <c r="A6" s="60" t="s">
        <v>400</v>
      </c>
      <c r="B6" s="60">
        <v>2</v>
      </c>
      <c r="C6" s="60">
        <v>60</v>
      </c>
      <c r="D6" s="60">
        <v>120</v>
      </c>
      <c r="E6" s="60">
        <f t="shared" ref="E6:E69" si="1">D6*0.01</f>
        <v>1.2</v>
      </c>
      <c r="H6" s="60" t="s">
        <v>400</v>
      </c>
      <c r="I6" s="24" t="s">
        <v>397</v>
      </c>
      <c r="J6" s="60">
        <v>3</v>
      </c>
      <c r="K6" s="60">
        <v>70</v>
      </c>
      <c r="L6" s="60">
        <f t="shared" ref="L6:L15" si="2">J6*K6</f>
        <v>210</v>
      </c>
      <c r="M6" s="60">
        <f t="shared" si="0"/>
        <v>2.1</v>
      </c>
      <c r="N6" s="12"/>
      <c r="O6" s="1"/>
    </row>
    <row r="7" spans="1:15">
      <c r="A7" s="60" t="s">
        <v>401</v>
      </c>
      <c r="B7" s="60">
        <v>1</v>
      </c>
      <c r="C7" s="60">
        <v>50</v>
      </c>
      <c r="D7" s="60">
        <f t="shared" ref="D7:D70" si="3">B7*C7</f>
        <v>50</v>
      </c>
      <c r="E7" s="60">
        <f t="shared" si="1"/>
        <v>0.5</v>
      </c>
      <c r="H7" s="60" t="s">
        <v>401</v>
      </c>
      <c r="I7" s="24" t="s">
        <v>397</v>
      </c>
      <c r="J7" s="60">
        <v>3</v>
      </c>
      <c r="K7" s="60">
        <v>80</v>
      </c>
      <c r="L7" s="60">
        <v>240</v>
      </c>
      <c r="M7" s="60">
        <f t="shared" si="0"/>
        <v>2.4</v>
      </c>
      <c r="N7" s="12"/>
      <c r="O7" s="1"/>
    </row>
    <row r="8" spans="1:15">
      <c r="A8" s="60" t="s">
        <v>402</v>
      </c>
      <c r="B8" s="60">
        <v>0</v>
      </c>
      <c r="C8" s="60">
        <v>0</v>
      </c>
      <c r="D8" s="60">
        <v>0</v>
      </c>
      <c r="E8" s="60">
        <f t="shared" si="1"/>
        <v>0</v>
      </c>
      <c r="H8" s="60" t="s">
        <v>402</v>
      </c>
      <c r="I8" s="24" t="s">
        <v>32</v>
      </c>
      <c r="J8" s="60">
        <v>2</v>
      </c>
      <c r="K8" s="60">
        <v>80</v>
      </c>
      <c r="L8" s="60">
        <v>160</v>
      </c>
      <c r="M8" s="60">
        <f t="shared" si="0"/>
        <v>1.6</v>
      </c>
      <c r="N8" s="12"/>
      <c r="O8" s="1"/>
    </row>
    <row r="9" spans="1:15">
      <c r="A9" s="60" t="s">
        <v>403</v>
      </c>
      <c r="B9" s="60">
        <v>3</v>
      </c>
      <c r="C9" s="60">
        <v>70</v>
      </c>
      <c r="D9" s="60">
        <v>210</v>
      </c>
      <c r="E9" s="60">
        <f t="shared" si="1"/>
        <v>2.1</v>
      </c>
      <c r="H9" s="60" t="s">
        <v>403</v>
      </c>
      <c r="I9" s="24" t="s">
        <v>32</v>
      </c>
      <c r="J9" s="60">
        <v>1</v>
      </c>
      <c r="K9" s="60">
        <v>100</v>
      </c>
      <c r="L9" s="60">
        <v>100</v>
      </c>
      <c r="M9" s="60">
        <f t="shared" si="0"/>
        <v>1</v>
      </c>
      <c r="N9" s="12"/>
      <c r="O9" s="1"/>
    </row>
    <row r="10" spans="1:15">
      <c r="A10" s="60" t="s">
        <v>404</v>
      </c>
      <c r="B10" s="60">
        <v>3</v>
      </c>
      <c r="C10" s="60">
        <v>90</v>
      </c>
      <c r="D10" s="60">
        <f t="shared" si="3"/>
        <v>270</v>
      </c>
      <c r="E10" s="60">
        <f t="shared" si="1"/>
        <v>2.7</v>
      </c>
      <c r="H10" s="60" t="s">
        <v>404</v>
      </c>
      <c r="I10" s="24" t="s">
        <v>32</v>
      </c>
      <c r="J10" s="60">
        <v>2</v>
      </c>
      <c r="K10" s="60">
        <v>80</v>
      </c>
      <c r="L10" s="60">
        <f t="shared" si="2"/>
        <v>160</v>
      </c>
      <c r="M10" s="60">
        <f t="shared" si="0"/>
        <v>1.6</v>
      </c>
      <c r="N10" s="12"/>
      <c r="O10" s="1"/>
    </row>
    <row r="11" spans="1:15">
      <c r="A11" s="60" t="s">
        <v>405</v>
      </c>
      <c r="B11" s="60">
        <v>1</v>
      </c>
      <c r="C11" s="60">
        <v>80</v>
      </c>
      <c r="D11" s="60">
        <f t="shared" si="3"/>
        <v>80</v>
      </c>
      <c r="E11" s="60">
        <f t="shared" si="1"/>
        <v>0.8</v>
      </c>
      <c r="H11" s="60" t="s">
        <v>405</v>
      </c>
      <c r="I11" s="24" t="s">
        <v>397</v>
      </c>
      <c r="J11" s="60">
        <v>3</v>
      </c>
      <c r="K11" s="60">
        <v>95</v>
      </c>
      <c r="L11" s="60">
        <f t="shared" si="2"/>
        <v>285</v>
      </c>
      <c r="M11" s="60">
        <f t="shared" si="0"/>
        <v>2.85</v>
      </c>
      <c r="N11" s="12"/>
      <c r="O11" s="1"/>
    </row>
    <row r="12" spans="1:15">
      <c r="A12" s="60" t="s">
        <v>406</v>
      </c>
      <c r="B12" s="60">
        <v>2</v>
      </c>
      <c r="C12" s="60">
        <v>80</v>
      </c>
      <c r="D12" s="60">
        <f t="shared" si="3"/>
        <v>160</v>
      </c>
      <c r="E12" s="60">
        <f t="shared" si="1"/>
        <v>1.6</v>
      </c>
      <c r="H12" s="60" t="s">
        <v>406</v>
      </c>
      <c r="I12" s="24" t="s">
        <v>32</v>
      </c>
      <c r="J12" s="60">
        <v>3</v>
      </c>
      <c r="K12" s="60">
        <v>90</v>
      </c>
      <c r="L12" s="60">
        <f t="shared" si="2"/>
        <v>270</v>
      </c>
      <c r="M12" s="60">
        <f t="shared" si="0"/>
        <v>2.7</v>
      </c>
      <c r="N12" s="12"/>
      <c r="O12" s="1"/>
    </row>
    <row r="13" spans="1:15">
      <c r="A13" s="60" t="s">
        <v>407</v>
      </c>
      <c r="B13" s="60">
        <v>1</v>
      </c>
      <c r="C13" s="60">
        <v>80</v>
      </c>
      <c r="D13" s="60">
        <v>80</v>
      </c>
      <c r="E13" s="60">
        <f t="shared" si="1"/>
        <v>0.8</v>
      </c>
      <c r="H13" s="60" t="s">
        <v>407</v>
      </c>
      <c r="I13" s="24" t="s">
        <v>396</v>
      </c>
      <c r="J13" s="60">
        <v>2</v>
      </c>
      <c r="K13" s="60">
        <v>80</v>
      </c>
      <c r="L13" s="60">
        <f t="shared" si="2"/>
        <v>160</v>
      </c>
      <c r="M13" s="60">
        <f t="shared" si="0"/>
        <v>1.6</v>
      </c>
      <c r="N13" s="12"/>
      <c r="O13" s="1"/>
    </row>
    <row r="14" spans="1:15">
      <c r="A14" s="60" t="s">
        <v>408</v>
      </c>
      <c r="B14" s="60">
        <v>2</v>
      </c>
      <c r="C14" s="60">
        <v>70</v>
      </c>
      <c r="D14" s="60">
        <v>140</v>
      </c>
      <c r="E14" s="60">
        <f t="shared" si="1"/>
        <v>1.4000000000000001</v>
      </c>
      <c r="H14" s="60" t="s">
        <v>408</v>
      </c>
      <c r="I14" s="24" t="s">
        <v>32</v>
      </c>
      <c r="J14" s="60">
        <v>3</v>
      </c>
      <c r="K14" s="60">
        <v>80</v>
      </c>
      <c r="L14" s="60">
        <f t="shared" si="2"/>
        <v>240</v>
      </c>
      <c r="M14" s="60">
        <f t="shared" si="0"/>
        <v>2.4</v>
      </c>
      <c r="N14" s="12"/>
      <c r="O14" s="1"/>
    </row>
    <row r="15" spans="1:15">
      <c r="A15" s="60" t="s">
        <v>409</v>
      </c>
      <c r="B15" s="60">
        <v>3</v>
      </c>
      <c r="C15" s="60">
        <v>100</v>
      </c>
      <c r="D15" s="60">
        <f t="shared" si="3"/>
        <v>300</v>
      </c>
      <c r="E15" s="60">
        <f t="shared" si="1"/>
        <v>3</v>
      </c>
      <c r="H15" s="60" t="s">
        <v>409</v>
      </c>
      <c r="I15" s="24" t="s">
        <v>33</v>
      </c>
      <c r="J15" s="63">
        <v>3</v>
      </c>
      <c r="K15" s="63">
        <v>80</v>
      </c>
      <c r="L15" s="63">
        <f t="shared" si="2"/>
        <v>240</v>
      </c>
      <c r="M15" s="62">
        <f>L15*0.01</f>
        <v>2.4</v>
      </c>
      <c r="N15" s="12"/>
    </row>
    <row r="16" spans="1:15">
      <c r="A16" s="60" t="s">
        <v>410</v>
      </c>
      <c r="B16" s="60">
        <v>2</v>
      </c>
      <c r="C16" s="60">
        <v>90</v>
      </c>
      <c r="D16" s="60">
        <f t="shared" si="3"/>
        <v>180</v>
      </c>
      <c r="E16" s="60">
        <f t="shared" si="1"/>
        <v>1.8</v>
      </c>
      <c r="N16" s="12"/>
    </row>
    <row r="17" spans="1:9">
      <c r="A17" s="60" t="s">
        <v>411</v>
      </c>
      <c r="B17" s="60">
        <v>1</v>
      </c>
      <c r="C17" s="60">
        <v>80</v>
      </c>
      <c r="D17" s="60">
        <f t="shared" si="3"/>
        <v>80</v>
      </c>
      <c r="E17" s="60">
        <f t="shared" si="1"/>
        <v>0.8</v>
      </c>
    </row>
    <row r="18" spans="1:9">
      <c r="A18" s="60" t="s">
        <v>412</v>
      </c>
      <c r="B18" s="60">
        <v>1</v>
      </c>
      <c r="C18" s="60">
        <v>90</v>
      </c>
      <c r="D18" s="60">
        <v>90</v>
      </c>
      <c r="E18" s="60">
        <f t="shared" si="1"/>
        <v>0.9</v>
      </c>
    </row>
    <row r="19" spans="1:9">
      <c r="A19" s="60" t="s">
        <v>413</v>
      </c>
      <c r="B19" s="60">
        <v>0</v>
      </c>
      <c r="C19" s="60">
        <v>0</v>
      </c>
      <c r="D19" s="60">
        <f t="shared" si="3"/>
        <v>0</v>
      </c>
      <c r="E19" s="60">
        <f t="shared" si="1"/>
        <v>0</v>
      </c>
    </row>
    <row r="20" spans="1:9">
      <c r="A20" s="60" t="s">
        <v>414</v>
      </c>
      <c r="B20" s="60">
        <v>2</v>
      </c>
      <c r="C20" s="60">
        <v>80</v>
      </c>
      <c r="D20" s="60">
        <f t="shared" si="3"/>
        <v>160</v>
      </c>
      <c r="E20" s="60">
        <f t="shared" si="1"/>
        <v>1.6</v>
      </c>
    </row>
    <row r="21" spans="1:9">
      <c r="A21" s="60" t="s">
        <v>415</v>
      </c>
      <c r="B21" s="60">
        <v>1</v>
      </c>
      <c r="C21" s="60">
        <v>70</v>
      </c>
      <c r="D21" s="60">
        <f t="shared" si="3"/>
        <v>70</v>
      </c>
      <c r="E21" s="60">
        <f t="shared" si="1"/>
        <v>0.70000000000000007</v>
      </c>
    </row>
    <row r="22" spans="1:9">
      <c r="A22" s="60" t="s">
        <v>416</v>
      </c>
      <c r="B22" s="60">
        <v>2</v>
      </c>
      <c r="C22" s="60">
        <v>60</v>
      </c>
      <c r="D22" s="60">
        <f t="shared" si="3"/>
        <v>120</v>
      </c>
      <c r="E22" s="60">
        <f t="shared" si="1"/>
        <v>1.2</v>
      </c>
    </row>
    <row r="23" spans="1:9">
      <c r="A23" s="60" t="s">
        <v>417</v>
      </c>
      <c r="B23" s="60">
        <v>3</v>
      </c>
      <c r="C23" s="60">
        <v>40</v>
      </c>
      <c r="D23" s="60">
        <f t="shared" si="3"/>
        <v>120</v>
      </c>
      <c r="E23" s="60">
        <f t="shared" si="1"/>
        <v>1.2</v>
      </c>
    </row>
    <row r="24" spans="1:9">
      <c r="A24" s="60" t="s">
        <v>418</v>
      </c>
      <c r="B24" s="60">
        <v>2</v>
      </c>
      <c r="C24" s="60">
        <v>100</v>
      </c>
      <c r="D24" s="60">
        <f t="shared" si="3"/>
        <v>200</v>
      </c>
      <c r="E24" s="60">
        <f t="shared" si="1"/>
        <v>2</v>
      </c>
      <c r="H24" s="12" t="s">
        <v>516</v>
      </c>
      <c r="I24" s="12">
        <f>_xlfn.T.TEST(E4:E88,M4:M15,2,2)</f>
        <v>6.0953882395442158E-4</v>
      </c>
    </row>
    <row r="25" spans="1:9">
      <c r="A25" s="60" t="s">
        <v>419</v>
      </c>
      <c r="B25" s="60">
        <v>3</v>
      </c>
      <c r="C25" s="60">
        <v>80</v>
      </c>
      <c r="D25" s="60">
        <f t="shared" si="3"/>
        <v>240</v>
      </c>
      <c r="E25" s="60">
        <f t="shared" si="1"/>
        <v>2.4</v>
      </c>
    </row>
    <row r="26" spans="1:9">
      <c r="A26" s="60" t="s">
        <v>420</v>
      </c>
      <c r="B26" s="60">
        <v>1</v>
      </c>
      <c r="C26" s="60">
        <v>70</v>
      </c>
      <c r="D26" s="60">
        <f t="shared" si="3"/>
        <v>70</v>
      </c>
      <c r="E26" s="60">
        <f t="shared" si="1"/>
        <v>0.70000000000000007</v>
      </c>
    </row>
    <row r="27" spans="1:9">
      <c r="A27" s="60" t="s">
        <v>421</v>
      </c>
      <c r="B27" s="60">
        <v>1</v>
      </c>
      <c r="C27" s="60">
        <v>80</v>
      </c>
      <c r="D27" s="60">
        <f t="shared" si="3"/>
        <v>80</v>
      </c>
      <c r="E27" s="60">
        <f t="shared" si="1"/>
        <v>0.8</v>
      </c>
    </row>
    <row r="28" spans="1:9">
      <c r="A28" s="60" t="s">
        <v>422</v>
      </c>
      <c r="B28" s="60">
        <v>2</v>
      </c>
      <c r="C28" s="60">
        <v>90</v>
      </c>
      <c r="D28" s="60">
        <f t="shared" si="3"/>
        <v>180</v>
      </c>
      <c r="E28" s="60">
        <f t="shared" si="1"/>
        <v>1.8</v>
      </c>
    </row>
    <row r="29" spans="1:9">
      <c r="A29" s="60" t="s">
        <v>423</v>
      </c>
      <c r="B29" s="60">
        <v>1</v>
      </c>
      <c r="C29" s="60">
        <v>50</v>
      </c>
      <c r="D29" s="60">
        <f t="shared" si="3"/>
        <v>50</v>
      </c>
      <c r="E29" s="60">
        <f t="shared" si="1"/>
        <v>0.5</v>
      </c>
    </row>
    <row r="30" spans="1:9">
      <c r="A30" s="60" t="s">
        <v>424</v>
      </c>
      <c r="B30" s="60">
        <v>1</v>
      </c>
      <c r="C30" s="60">
        <v>60</v>
      </c>
      <c r="D30" s="60">
        <f t="shared" si="3"/>
        <v>60</v>
      </c>
      <c r="E30" s="60">
        <f t="shared" si="1"/>
        <v>0.6</v>
      </c>
    </row>
    <row r="31" spans="1:9">
      <c r="A31" s="60" t="s">
        <v>425</v>
      </c>
      <c r="B31" s="60">
        <v>2</v>
      </c>
      <c r="C31" s="60">
        <v>50</v>
      </c>
      <c r="D31" s="60">
        <f t="shared" si="3"/>
        <v>100</v>
      </c>
      <c r="E31" s="60">
        <f t="shared" si="1"/>
        <v>1</v>
      </c>
    </row>
    <row r="32" spans="1:9">
      <c r="A32" s="60" t="s">
        <v>426</v>
      </c>
      <c r="B32" s="60">
        <v>2</v>
      </c>
      <c r="C32" s="60">
        <v>100</v>
      </c>
      <c r="D32" s="60">
        <f t="shared" si="3"/>
        <v>200</v>
      </c>
      <c r="E32" s="60">
        <f t="shared" si="1"/>
        <v>2</v>
      </c>
    </row>
    <row r="33" spans="1:5">
      <c r="A33" s="60" t="s">
        <v>427</v>
      </c>
      <c r="B33" s="60">
        <v>1</v>
      </c>
      <c r="C33" s="60">
        <v>80</v>
      </c>
      <c r="D33" s="60">
        <f t="shared" si="3"/>
        <v>80</v>
      </c>
      <c r="E33" s="60">
        <f t="shared" si="1"/>
        <v>0.8</v>
      </c>
    </row>
    <row r="34" spans="1:5">
      <c r="A34" s="60" t="s">
        <v>428</v>
      </c>
      <c r="B34" s="60">
        <v>2</v>
      </c>
      <c r="C34" s="60">
        <v>60</v>
      </c>
      <c r="D34" s="60">
        <f t="shared" si="3"/>
        <v>120</v>
      </c>
      <c r="E34" s="60">
        <f t="shared" si="1"/>
        <v>1.2</v>
      </c>
    </row>
    <row r="35" spans="1:5">
      <c r="A35" s="60" t="s">
        <v>429</v>
      </c>
      <c r="B35" s="60">
        <v>3</v>
      </c>
      <c r="C35" s="60">
        <v>40</v>
      </c>
      <c r="D35" s="60">
        <f t="shared" si="3"/>
        <v>120</v>
      </c>
      <c r="E35" s="60">
        <f t="shared" si="1"/>
        <v>1.2</v>
      </c>
    </row>
    <row r="36" spans="1:5">
      <c r="A36" s="60" t="s">
        <v>430</v>
      </c>
      <c r="B36" s="60">
        <v>2</v>
      </c>
      <c r="C36" s="60">
        <v>80</v>
      </c>
      <c r="D36" s="60">
        <f t="shared" si="3"/>
        <v>160</v>
      </c>
      <c r="E36" s="60">
        <f t="shared" si="1"/>
        <v>1.6</v>
      </c>
    </row>
    <row r="37" spans="1:5">
      <c r="A37" s="60" t="s">
        <v>431</v>
      </c>
      <c r="B37" s="60">
        <v>1</v>
      </c>
      <c r="C37" s="60">
        <v>50</v>
      </c>
      <c r="D37" s="60">
        <f t="shared" si="3"/>
        <v>50</v>
      </c>
      <c r="E37" s="60">
        <f t="shared" si="1"/>
        <v>0.5</v>
      </c>
    </row>
    <row r="38" spans="1:5">
      <c r="A38" s="60" t="s">
        <v>432</v>
      </c>
      <c r="B38" s="60">
        <v>2</v>
      </c>
      <c r="C38" s="60">
        <v>70</v>
      </c>
      <c r="D38" s="60">
        <f t="shared" si="3"/>
        <v>140</v>
      </c>
      <c r="E38" s="60">
        <f t="shared" si="1"/>
        <v>1.4000000000000001</v>
      </c>
    </row>
    <row r="39" spans="1:5">
      <c r="A39" s="60" t="s">
        <v>433</v>
      </c>
      <c r="B39" s="60">
        <v>3</v>
      </c>
      <c r="C39" s="60">
        <v>50</v>
      </c>
      <c r="D39" s="60">
        <f t="shared" si="3"/>
        <v>150</v>
      </c>
      <c r="E39" s="60">
        <f t="shared" si="1"/>
        <v>1.5</v>
      </c>
    </row>
    <row r="40" spans="1:5">
      <c r="A40" s="60" t="s">
        <v>434</v>
      </c>
      <c r="B40" s="60">
        <v>1</v>
      </c>
      <c r="C40" s="60">
        <v>80</v>
      </c>
      <c r="D40" s="60">
        <f t="shared" si="3"/>
        <v>80</v>
      </c>
      <c r="E40" s="60">
        <f t="shared" si="1"/>
        <v>0.8</v>
      </c>
    </row>
    <row r="41" spans="1:5">
      <c r="A41" s="60" t="s">
        <v>435</v>
      </c>
      <c r="B41" s="60">
        <v>2</v>
      </c>
      <c r="C41" s="60">
        <v>50</v>
      </c>
      <c r="D41" s="60">
        <f t="shared" si="3"/>
        <v>100</v>
      </c>
      <c r="E41" s="60">
        <f t="shared" si="1"/>
        <v>1</v>
      </c>
    </row>
    <row r="42" spans="1:5">
      <c r="A42" s="60" t="s">
        <v>436</v>
      </c>
      <c r="B42" s="60">
        <v>3</v>
      </c>
      <c r="C42" s="60">
        <v>50</v>
      </c>
      <c r="D42" s="60">
        <f t="shared" si="3"/>
        <v>150</v>
      </c>
      <c r="E42" s="60">
        <f t="shared" si="1"/>
        <v>1.5</v>
      </c>
    </row>
    <row r="43" spans="1:5">
      <c r="A43" s="60" t="s">
        <v>437</v>
      </c>
      <c r="B43" s="60">
        <v>1</v>
      </c>
      <c r="C43" s="60">
        <v>100</v>
      </c>
      <c r="D43" s="60">
        <f t="shared" si="3"/>
        <v>100</v>
      </c>
      <c r="E43" s="60">
        <f t="shared" si="1"/>
        <v>1</v>
      </c>
    </row>
    <row r="44" spans="1:5">
      <c r="A44" s="60" t="s">
        <v>438</v>
      </c>
      <c r="B44" s="60">
        <v>2</v>
      </c>
      <c r="C44" s="60">
        <v>100</v>
      </c>
      <c r="D44" s="60">
        <f t="shared" si="3"/>
        <v>200</v>
      </c>
      <c r="E44" s="60">
        <f t="shared" si="1"/>
        <v>2</v>
      </c>
    </row>
    <row r="45" spans="1:5">
      <c r="A45" s="60" t="s">
        <v>439</v>
      </c>
      <c r="B45" s="60">
        <v>1</v>
      </c>
      <c r="C45" s="60">
        <v>100</v>
      </c>
      <c r="D45" s="60">
        <f t="shared" si="3"/>
        <v>100</v>
      </c>
      <c r="E45" s="60">
        <f t="shared" si="1"/>
        <v>1</v>
      </c>
    </row>
    <row r="46" spans="1:5">
      <c r="A46" s="60" t="s">
        <v>440</v>
      </c>
      <c r="B46" s="60">
        <v>1</v>
      </c>
      <c r="C46" s="60">
        <v>90</v>
      </c>
      <c r="D46" s="60">
        <f t="shared" si="3"/>
        <v>90</v>
      </c>
      <c r="E46" s="60">
        <f t="shared" si="1"/>
        <v>0.9</v>
      </c>
    </row>
    <row r="47" spans="1:5">
      <c r="A47" s="60" t="s">
        <v>441</v>
      </c>
      <c r="B47" s="60">
        <v>2</v>
      </c>
      <c r="C47" s="60">
        <v>80</v>
      </c>
      <c r="D47" s="60">
        <f t="shared" si="3"/>
        <v>160</v>
      </c>
      <c r="E47" s="60">
        <f t="shared" si="1"/>
        <v>1.6</v>
      </c>
    </row>
    <row r="48" spans="1:5">
      <c r="A48" s="60" t="s">
        <v>442</v>
      </c>
      <c r="B48" s="60">
        <v>1</v>
      </c>
      <c r="C48" s="60">
        <v>80</v>
      </c>
      <c r="D48" s="60">
        <f t="shared" si="3"/>
        <v>80</v>
      </c>
      <c r="E48" s="60">
        <f t="shared" si="1"/>
        <v>0.8</v>
      </c>
    </row>
    <row r="49" spans="1:5">
      <c r="A49" s="60" t="s">
        <v>443</v>
      </c>
      <c r="B49" s="60">
        <v>2</v>
      </c>
      <c r="C49" s="60">
        <v>80</v>
      </c>
      <c r="D49" s="60">
        <f t="shared" si="3"/>
        <v>160</v>
      </c>
      <c r="E49" s="60">
        <f t="shared" si="1"/>
        <v>1.6</v>
      </c>
    </row>
    <row r="50" spans="1:5">
      <c r="A50" s="60" t="s">
        <v>444</v>
      </c>
      <c r="B50" s="60">
        <v>3</v>
      </c>
      <c r="C50" s="60">
        <v>100</v>
      </c>
      <c r="D50" s="60">
        <f t="shared" si="3"/>
        <v>300</v>
      </c>
      <c r="E50" s="60">
        <f t="shared" si="1"/>
        <v>3</v>
      </c>
    </row>
    <row r="51" spans="1:5">
      <c r="A51" s="60" t="s">
        <v>445</v>
      </c>
      <c r="B51" s="60">
        <v>1</v>
      </c>
      <c r="C51" s="60">
        <v>80</v>
      </c>
      <c r="D51" s="60">
        <f t="shared" si="3"/>
        <v>80</v>
      </c>
      <c r="E51" s="60">
        <f t="shared" si="1"/>
        <v>0.8</v>
      </c>
    </row>
    <row r="52" spans="1:5">
      <c r="A52" s="60" t="s">
        <v>446</v>
      </c>
      <c r="B52" s="60">
        <v>2</v>
      </c>
      <c r="C52" s="60">
        <v>70</v>
      </c>
      <c r="D52" s="60">
        <f t="shared" si="3"/>
        <v>140</v>
      </c>
      <c r="E52" s="60">
        <f t="shared" si="1"/>
        <v>1.4000000000000001</v>
      </c>
    </row>
    <row r="53" spans="1:5">
      <c r="A53" s="60" t="s">
        <v>447</v>
      </c>
      <c r="B53" s="60">
        <v>2</v>
      </c>
      <c r="C53" s="60">
        <v>80</v>
      </c>
      <c r="D53" s="60">
        <f t="shared" si="3"/>
        <v>160</v>
      </c>
      <c r="E53" s="60">
        <f t="shared" si="1"/>
        <v>1.6</v>
      </c>
    </row>
    <row r="54" spans="1:5">
      <c r="A54" s="60" t="s">
        <v>448</v>
      </c>
      <c r="B54" s="60">
        <v>0</v>
      </c>
      <c r="C54" s="60">
        <v>0</v>
      </c>
      <c r="D54" s="60">
        <f t="shared" si="3"/>
        <v>0</v>
      </c>
      <c r="E54" s="60">
        <f t="shared" si="1"/>
        <v>0</v>
      </c>
    </row>
    <row r="55" spans="1:5">
      <c r="A55" s="60" t="s">
        <v>449</v>
      </c>
      <c r="B55" s="60">
        <v>1</v>
      </c>
      <c r="C55" s="60">
        <v>50</v>
      </c>
      <c r="D55" s="60">
        <f t="shared" si="3"/>
        <v>50</v>
      </c>
      <c r="E55" s="60">
        <f t="shared" si="1"/>
        <v>0.5</v>
      </c>
    </row>
    <row r="56" spans="1:5">
      <c r="A56" s="60" t="s">
        <v>450</v>
      </c>
      <c r="B56" s="60">
        <v>1</v>
      </c>
      <c r="C56" s="60">
        <v>70</v>
      </c>
      <c r="D56" s="60">
        <f t="shared" si="3"/>
        <v>70</v>
      </c>
      <c r="E56" s="60">
        <f t="shared" si="1"/>
        <v>0.70000000000000007</v>
      </c>
    </row>
    <row r="57" spans="1:5">
      <c r="A57" s="60" t="s">
        <v>451</v>
      </c>
      <c r="B57" s="60">
        <v>2</v>
      </c>
      <c r="C57" s="60">
        <v>50</v>
      </c>
      <c r="D57" s="60">
        <f t="shared" si="3"/>
        <v>100</v>
      </c>
      <c r="E57" s="60">
        <f t="shared" si="1"/>
        <v>1</v>
      </c>
    </row>
    <row r="58" spans="1:5">
      <c r="A58" s="60" t="s">
        <v>452</v>
      </c>
      <c r="B58" s="60">
        <v>1</v>
      </c>
      <c r="C58" s="60">
        <v>30</v>
      </c>
      <c r="D58" s="60">
        <f t="shared" si="3"/>
        <v>30</v>
      </c>
      <c r="E58" s="60">
        <f t="shared" si="1"/>
        <v>0.3</v>
      </c>
    </row>
    <row r="59" spans="1:5">
      <c r="A59" s="60" t="s">
        <v>453</v>
      </c>
      <c r="B59" s="60">
        <v>2</v>
      </c>
      <c r="C59" s="60">
        <v>90</v>
      </c>
      <c r="D59" s="60">
        <f t="shared" si="3"/>
        <v>180</v>
      </c>
      <c r="E59" s="60">
        <f t="shared" si="1"/>
        <v>1.8</v>
      </c>
    </row>
    <row r="60" spans="1:5">
      <c r="A60" s="60" t="s">
        <v>454</v>
      </c>
      <c r="B60" s="60">
        <v>2</v>
      </c>
      <c r="C60" s="60">
        <v>70</v>
      </c>
      <c r="D60" s="60">
        <f t="shared" si="3"/>
        <v>140</v>
      </c>
      <c r="E60" s="60">
        <f t="shared" si="1"/>
        <v>1.4000000000000001</v>
      </c>
    </row>
    <row r="61" spans="1:5">
      <c r="A61" s="60" t="s">
        <v>455</v>
      </c>
      <c r="B61" s="60">
        <v>1</v>
      </c>
      <c r="C61" s="60">
        <v>80</v>
      </c>
      <c r="D61" s="60">
        <f t="shared" si="3"/>
        <v>80</v>
      </c>
      <c r="E61" s="60">
        <f t="shared" si="1"/>
        <v>0.8</v>
      </c>
    </row>
    <row r="62" spans="1:5">
      <c r="A62" s="60" t="s">
        <v>456</v>
      </c>
      <c r="B62" s="60">
        <v>1</v>
      </c>
      <c r="C62" s="60">
        <v>50</v>
      </c>
      <c r="D62" s="60">
        <f t="shared" si="3"/>
        <v>50</v>
      </c>
      <c r="E62" s="60">
        <f t="shared" si="1"/>
        <v>0.5</v>
      </c>
    </row>
    <row r="63" spans="1:5">
      <c r="A63" s="60" t="s">
        <v>457</v>
      </c>
      <c r="B63" s="60">
        <v>1</v>
      </c>
      <c r="C63" s="60">
        <v>100</v>
      </c>
      <c r="D63" s="60">
        <f t="shared" si="3"/>
        <v>100</v>
      </c>
      <c r="E63" s="60">
        <f t="shared" si="1"/>
        <v>1</v>
      </c>
    </row>
    <row r="64" spans="1:5">
      <c r="A64" s="60" t="s">
        <v>458</v>
      </c>
      <c r="B64" s="63">
        <v>1</v>
      </c>
      <c r="C64" s="63">
        <v>70</v>
      </c>
      <c r="D64" s="60">
        <f t="shared" si="3"/>
        <v>70</v>
      </c>
      <c r="E64" s="60">
        <f t="shared" si="1"/>
        <v>0.70000000000000007</v>
      </c>
    </row>
    <row r="65" spans="1:5">
      <c r="A65" s="60" t="s">
        <v>459</v>
      </c>
      <c r="B65" s="60">
        <v>2</v>
      </c>
      <c r="C65" s="60">
        <v>80</v>
      </c>
      <c r="D65" s="60">
        <f t="shared" si="3"/>
        <v>160</v>
      </c>
      <c r="E65" s="60">
        <f t="shared" si="1"/>
        <v>1.6</v>
      </c>
    </row>
    <row r="66" spans="1:5">
      <c r="A66" s="60" t="s">
        <v>460</v>
      </c>
      <c r="B66" s="60">
        <v>0</v>
      </c>
      <c r="C66" s="60">
        <v>0</v>
      </c>
      <c r="D66" s="60">
        <f t="shared" si="3"/>
        <v>0</v>
      </c>
      <c r="E66" s="60">
        <f t="shared" si="1"/>
        <v>0</v>
      </c>
    </row>
    <row r="67" spans="1:5">
      <c r="A67" s="60" t="s">
        <v>461</v>
      </c>
      <c r="B67" s="60">
        <v>1</v>
      </c>
      <c r="C67" s="60">
        <v>90</v>
      </c>
      <c r="D67" s="60">
        <f t="shared" si="3"/>
        <v>90</v>
      </c>
      <c r="E67" s="60">
        <f t="shared" si="1"/>
        <v>0.9</v>
      </c>
    </row>
    <row r="68" spans="1:5">
      <c r="A68" s="60" t="s">
        <v>462</v>
      </c>
      <c r="B68" s="60">
        <v>2</v>
      </c>
      <c r="C68" s="60">
        <v>80</v>
      </c>
      <c r="D68" s="60">
        <f t="shared" si="3"/>
        <v>160</v>
      </c>
      <c r="E68" s="60">
        <f t="shared" si="1"/>
        <v>1.6</v>
      </c>
    </row>
    <row r="69" spans="1:5">
      <c r="A69" s="60" t="s">
        <v>463</v>
      </c>
      <c r="B69" s="60">
        <v>3</v>
      </c>
      <c r="C69" s="60">
        <v>100</v>
      </c>
      <c r="D69" s="60">
        <f t="shared" si="3"/>
        <v>300</v>
      </c>
      <c r="E69" s="60">
        <f t="shared" si="1"/>
        <v>3</v>
      </c>
    </row>
    <row r="70" spans="1:5">
      <c r="A70" s="60" t="s">
        <v>464</v>
      </c>
      <c r="B70" s="60">
        <v>2</v>
      </c>
      <c r="C70" s="60">
        <v>80</v>
      </c>
      <c r="D70" s="60">
        <f t="shared" si="3"/>
        <v>160</v>
      </c>
      <c r="E70" s="60">
        <f t="shared" ref="E70:E88" si="4">D70*0.01</f>
        <v>1.6</v>
      </c>
    </row>
    <row r="71" spans="1:5">
      <c r="A71" s="60" t="s">
        <v>465</v>
      </c>
      <c r="B71" s="60">
        <v>0</v>
      </c>
      <c r="C71" s="60">
        <v>0</v>
      </c>
      <c r="D71" s="60">
        <f t="shared" ref="D71:D88" si="5">B71*C71</f>
        <v>0</v>
      </c>
      <c r="E71" s="60">
        <f t="shared" si="4"/>
        <v>0</v>
      </c>
    </row>
    <row r="72" spans="1:5">
      <c r="A72" s="60" t="s">
        <v>466</v>
      </c>
      <c r="B72" s="60">
        <v>1</v>
      </c>
      <c r="C72" s="60">
        <v>70</v>
      </c>
      <c r="D72" s="60">
        <f t="shared" si="5"/>
        <v>70</v>
      </c>
      <c r="E72" s="60">
        <f t="shared" si="4"/>
        <v>0.70000000000000007</v>
      </c>
    </row>
    <row r="73" spans="1:5">
      <c r="A73" s="60" t="s">
        <v>467</v>
      </c>
      <c r="B73" s="60">
        <v>2</v>
      </c>
      <c r="C73" s="60">
        <v>80</v>
      </c>
      <c r="D73" s="60">
        <f t="shared" si="5"/>
        <v>160</v>
      </c>
      <c r="E73" s="60">
        <f t="shared" si="4"/>
        <v>1.6</v>
      </c>
    </row>
    <row r="74" spans="1:5">
      <c r="A74" s="60" t="s">
        <v>468</v>
      </c>
      <c r="B74" s="60">
        <v>1</v>
      </c>
      <c r="C74" s="60">
        <v>90</v>
      </c>
      <c r="D74" s="60">
        <f t="shared" si="5"/>
        <v>90</v>
      </c>
      <c r="E74" s="60">
        <f t="shared" si="4"/>
        <v>0.9</v>
      </c>
    </row>
    <row r="75" spans="1:5">
      <c r="A75" s="60" t="s">
        <v>469</v>
      </c>
      <c r="B75" s="60">
        <v>0</v>
      </c>
      <c r="C75" s="60">
        <v>0</v>
      </c>
      <c r="D75" s="60">
        <f t="shared" si="5"/>
        <v>0</v>
      </c>
      <c r="E75" s="60">
        <f t="shared" si="4"/>
        <v>0</v>
      </c>
    </row>
    <row r="76" spans="1:5">
      <c r="A76" s="60" t="s">
        <v>470</v>
      </c>
      <c r="B76" s="60">
        <v>2</v>
      </c>
      <c r="C76" s="60">
        <v>70</v>
      </c>
      <c r="D76" s="60">
        <f t="shared" si="5"/>
        <v>140</v>
      </c>
      <c r="E76" s="60">
        <f t="shared" si="4"/>
        <v>1.4000000000000001</v>
      </c>
    </row>
    <row r="77" spans="1:5">
      <c r="A77" s="60" t="s">
        <v>471</v>
      </c>
      <c r="B77" s="60">
        <v>2</v>
      </c>
      <c r="C77" s="60">
        <v>100</v>
      </c>
      <c r="D77" s="60">
        <f t="shared" si="5"/>
        <v>200</v>
      </c>
      <c r="E77" s="60">
        <f t="shared" si="4"/>
        <v>2</v>
      </c>
    </row>
    <row r="78" spans="1:5">
      <c r="A78" s="60" t="s">
        <v>472</v>
      </c>
      <c r="B78" s="60">
        <v>3</v>
      </c>
      <c r="C78" s="60">
        <v>80</v>
      </c>
      <c r="D78" s="60">
        <f t="shared" si="5"/>
        <v>240</v>
      </c>
      <c r="E78" s="60">
        <f t="shared" si="4"/>
        <v>2.4</v>
      </c>
    </row>
    <row r="79" spans="1:5">
      <c r="A79" s="60" t="s">
        <v>473</v>
      </c>
      <c r="B79" s="60">
        <v>2</v>
      </c>
      <c r="C79" s="60">
        <v>80</v>
      </c>
      <c r="D79" s="60">
        <f t="shared" si="5"/>
        <v>160</v>
      </c>
      <c r="E79" s="60">
        <f t="shared" si="4"/>
        <v>1.6</v>
      </c>
    </row>
    <row r="80" spans="1:5">
      <c r="A80" s="60" t="s">
        <v>474</v>
      </c>
      <c r="B80" s="60">
        <v>1</v>
      </c>
      <c r="C80" s="60">
        <v>90</v>
      </c>
      <c r="D80" s="60">
        <f t="shared" si="5"/>
        <v>90</v>
      </c>
      <c r="E80" s="60">
        <f t="shared" si="4"/>
        <v>0.9</v>
      </c>
    </row>
    <row r="81" spans="1:5">
      <c r="A81" s="60" t="s">
        <v>475</v>
      </c>
      <c r="B81" s="60">
        <v>3</v>
      </c>
      <c r="C81" s="60">
        <v>70</v>
      </c>
      <c r="D81" s="60">
        <f t="shared" si="5"/>
        <v>210</v>
      </c>
      <c r="E81" s="60">
        <f t="shared" si="4"/>
        <v>2.1</v>
      </c>
    </row>
    <row r="82" spans="1:5">
      <c r="A82" s="60" t="s">
        <v>476</v>
      </c>
      <c r="B82" s="63">
        <v>2</v>
      </c>
      <c r="C82" s="63">
        <v>80</v>
      </c>
      <c r="D82" s="60">
        <f t="shared" si="5"/>
        <v>160</v>
      </c>
      <c r="E82" s="60">
        <f t="shared" si="4"/>
        <v>1.6</v>
      </c>
    </row>
    <row r="83" spans="1:5">
      <c r="A83" s="60" t="s">
        <v>477</v>
      </c>
      <c r="B83" s="63">
        <v>0</v>
      </c>
      <c r="C83" s="63">
        <v>0</v>
      </c>
      <c r="D83" s="60">
        <f t="shared" si="5"/>
        <v>0</v>
      </c>
      <c r="E83" s="60">
        <f t="shared" si="4"/>
        <v>0</v>
      </c>
    </row>
    <row r="84" spans="1:5">
      <c r="A84" s="60" t="s">
        <v>478</v>
      </c>
      <c r="B84" s="63">
        <v>0</v>
      </c>
      <c r="C84" s="63">
        <v>0</v>
      </c>
      <c r="D84" s="60">
        <f t="shared" si="5"/>
        <v>0</v>
      </c>
      <c r="E84" s="60">
        <f t="shared" si="4"/>
        <v>0</v>
      </c>
    </row>
    <row r="85" spans="1:5">
      <c r="A85" s="60" t="s">
        <v>479</v>
      </c>
      <c r="B85" s="63">
        <v>3</v>
      </c>
      <c r="C85" s="63">
        <v>90</v>
      </c>
      <c r="D85" s="60">
        <f t="shared" si="5"/>
        <v>270</v>
      </c>
      <c r="E85" s="60">
        <f t="shared" si="4"/>
        <v>2.7</v>
      </c>
    </row>
    <row r="86" spans="1:5">
      <c r="A86" s="60" t="s">
        <v>480</v>
      </c>
      <c r="B86" s="63">
        <v>3</v>
      </c>
      <c r="C86" s="63">
        <v>100</v>
      </c>
      <c r="D86" s="60">
        <f t="shared" si="5"/>
        <v>300</v>
      </c>
      <c r="E86" s="60">
        <f t="shared" si="4"/>
        <v>3</v>
      </c>
    </row>
    <row r="87" spans="1:5">
      <c r="A87" s="60" t="s">
        <v>481</v>
      </c>
      <c r="B87" s="63">
        <v>1</v>
      </c>
      <c r="C87" s="63">
        <v>50</v>
      </c>
      <c r="D87" s="60">
        <f t="shared" si="5"/>
        <v>50</v>
      </c>
      <c r="E87" s="60">
        <f t="shared" si="4"/>
        <v>0.5</v>
      </c>
    </row>
    <row r="88" spans="1:5">
      <c r="A88" s="60" t="s">
        <v>482</v>
      </c>
      <c r="B88" s="63">
        <v>3</v>
      </c>
      <c r="C88" s="63">
        <v>100</v>
      </c>
      <c r="D88" s="60">
        <f t="shared" si="5"/>
        <v>300</v>
      </c>
      <c r="E88" s="60">
        <f t="shared" si="4"/>
        <v>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
  <sheetViews>
    <sheetView zoomScale="85" zoomScaleNormal="85" workbookViewId="0"/>
  </sheetViews>
  <sheetFormatPr defaultRowHeight="15"/>
  <cols>
    <col min="1" max="1" width="18.5703125" customWidth="1"/>
    <col min="2" max="2" width="12" bestFit="1" customWidth="1"/>
    <col min="5" max="5" width="12.42578125" customWidth="1"/>
    <col min="10" max="10" width="12.28515625" customWidth="1"/>
  </cols>
  <sheetData>
    <row r="1" spans="1:11" ht="15.75">
      <c r="A1" s="76" t="s">
        <v>527</v>
      </c>
    </row>
    <row r="3" spans="1:11">
      <c r="B3" t="s">
        <v>21</v>
      </c>
      <c r="C3" t="s">
        <v>22</v>
      </c>
      <c r="D3" t="s">
        <v>23</v>
      </c>
      <c r="E3" t="s">
        <v>24</v>
      </c>
      <c r="F3" t="s">
        <v>25</v>
      </c>
      <c r="G3" t="s">
        <v>26</v>
      </c>
      <c r="H3" t="s">
        <v>27</v>
      </c>
      <c r="I3" t="s">
        <v>28</v>
      </c>
      <c r="J3" t="s">
        <v>29</v>
      </c>
      <c r="K3" t="s">
        <v>30</v>
      </c>
    </row>
    <row r="4" spans="1:11">
      <c r="B4" t="s">
        <v>31</v>
      </c>
      <c r="C4" t="s">
        <v>31</v>
      </c>
      <c r="D4" t="s">
        <v>31</v>
      </c>
      <c r="E4" t="s">
        <v>31</v>
      </c>
      <c r="F4" t="s">
        <v>31</v>
      </c>
      <c r="G4" t="s">
        <v>33</v>
      </c>
      <c r="H4" t="s">
        <v>33</v>
      </c>
      <c r="I4" t="s">
        <v>33</v>
      </c>
      <c r="J4" t="s">
        <v>33</v>
      </c>
      <c r="K4" t="s">
        <v>33</v>
      </c>
    </row>
    <row r="5" spans="1:11">
      <c r="A5" t="s">
        <v>500</v>
      </c>
      <c r="B5" t="s">
        <v>0</v>
      </c>
      <c r="C5" t="s">
        <v>1</v>
      </c>
      <c r="D5" t="s">
        <v>501</v>
      </c>
      <c r="E5" t="s">
        <v>502</v>
      </c>
      <c r="F5" t="s">
        <v>4</v>
      </c>
      <c r="G5" t="s">
        <v>0</v>
      </c>
      <c r="H5" t="s">
        <v>1</v>
      </c>
      <c r="I5" t="s">
        <v>501</v>
      </c>
      <c r="J5" t="s">
        <v>502</v>
      </c>
      <c r="K5" t="s">
        <v>4</v>
      </c>
    </row>
    <row r="6" spans="1:11">
      <c r="A6" t="s">
        <v>5</v>
      </c>
      <c r="B6" s="2">
        <v>1.0149999999999999</v>
      </c>
      <c r="C6" s="2">
        <v>0.88700000000000001</v>
      </c>
      <c r="D6" s="2">
        <v>0.69</v>
      </c>
      <c r="E6" s="2">
        <v>0.56799999999999995</v>
      </c>
      <c r="F6" s="2">
        <v>0.25</v>
      </c>
      <c r="G6" s="2">
        <v>1.268</v>
      </c>
      <c r="H6" s="2">
        <v>1.0369999999999999</v>
      </c>
      <c r="I6" s="2">
        <v>0.98899999999999999</v>
      </c>
      <c r="J6" s="2">
        <v>0.38100000000000001</v>
      </c>
      <c r="K6" s="2">
        <v>0.24099999999999999</v>
      </c>
    </row>
    <row r="7" spans="1:11">
      <c r="A7" t="s">
        <v>6</v>
      </c>
      <c r="B7" s="2">
        <v>1.008</v>
      </c>
      <c r="C7" s="2">
        <v>0.79700000000000004</v>
      </c>
      <c r="D7" s="2">
        <v>0.78500000000000003</v>
      </c>
      <c r="E7" s="2">
        <v>0.40600000000000003</v>
      </c>
      <c r="F7" s="2">
        <v>0.42299999999999999</v>
      </c>
      <c r="G7" s="2">
        <v>1.2330000000000001</v>
      </c>
      <c r="H7" s="2">
        <v>1.107</v>
      </c>
      <c r="I7" s="2">
        <v>0.872</v>
      </c>
      <c r="J7" s="2">
        <v>0.36799999999999999</v>
      </c>
      <c r="K7" s="2">
        <v>0.25700000000000001</v>
      </c>
    </row>
    <row r="8" spans="1:11">
      <c r="A8" t="s">
        <v>7</v>
      </c>
      <c r="B8" s="2">
        <v>0.98299999999999998</v>
      </c>
      <c r="C8" s="2">
        <v>0.83499999999999996</v>
      </c>
      <c r="D8" s="2">
        <v>0.70499999999999996</v>
      </c>
      <c r="E8" s="2">
        <v>0.53400000000000003</v>
      </c>
      <c r="F8" s="2">
        <v>0.38600000000000001</v>
      </c>
      <c r="G8" s="2">
        <v>1.19</v>
      </c>
      <c r="H8" s="2">
        <v>1.079</v>
      </c>
      <c r="I8" s="2">
        <v>0.89800000000000002</v>
      </c>
      <c r="J8" s="2">
        <v>0.308</v>
      </c>
      <c r="K8" s="2">
        <v>0.32500000000000001</v>
      </c>
    </row>
    <row r="9" spans="1:11">
      <c r="A9" t="s">
        <v>8</v>
      </c>
      <c r="B9" s="2">
        <v>0.92</v>
      </c>
      <c r="C9" s="2">
        <v>0.68</v>
      </c>
      <c r="D9" s="2">
        <v>0.72599999999999998</v>
      </c>
      <c r="E9" s="2">
        <v>0.53600000000000003</v>
      </c>
      <c r="F9" s="2">
        <v>0.33700000000000002</v>
      </c>
      <c r="G9" s="2">
        <v>1.1259999999999999</v>
      </c>
      <c r="H9" s="2">
        <v>0.89500000000000002</v>
      </c>
      <c r="I9" s="2">
        <v>0.76400000000000001</v>
      </c>
      <c r="J9" s="2">
        <v>0.33400000000000002</v>
      </c>
      <c r="K9" s="2">
        <v>0.22</v>
      </c>
    </row>
    <row r="10" spans="1:11">
      <c r="A10" t="s">
        <v>9</v>
      </c>
      <c r="B10" s="2">
        <v>0.97299999999999998</v>
      </c>
      <c r="C10" s="2">
        <v>0.76500000000000001</v>
      </c>
      <c r="D10" s="2">
        <v>0.69299999999999995</v>
      </c>
      <c r="E10" s="2">
        <v>0.65900000000000003</v>
      </c>
      <c r="F10" s="2">
        <v>0.41199999999999998</v>
      </c>
      <c r="G10" s="2">
        <v>0.96599999999999997</v>
      </c>
      <c r="H10" s="2">
        <v>1.1619999999999999</v>
      </c>
      <c r="I10" s="2">
        <v>0.88800000000000001</v>
      </c>
      <c r="J10" s="2">
        <v>0.38800000000000001</v>
      </c>
      <c r="K10" s="2">
        <v>0.20300000000000001</v>
      </c>
    </row>
    <row r="11" spans="1:11">
      <c r="A11" t="s">
        <v>10</v>
      </c>
      <c r="B11" s="2">
        <v>1.0145999999999999</v>
      </c>
      <c r="C11" s="2"/>
      <c r="D11" s="2"/>
      <c r="E11" s="2"/>
      <c r="F11" s="2"/>
      <c r="G11" s="2">
        <v>1.181</v>
      </c>
      <c r="H11" s="2"/>
      <c r="I11" s="2"/>
      <c r="J11" s="2"/>
      <c r="K11" s="2"/>
    </row>
    <row r="12" spans="1:11">
      <c r="A12" t="s">
        <v>11</v>
      </c>
      <c r="B12" s="2">
        <v>0.95299999999999996</v>
      </c>
      <c r="C12" s="2"/>
      <c r="D12" s="2"/>
      <c r="E12" s="2"/>
      <c r="F12" s="2"/>
      <c r="G12" s="2">
        <v>1.149</v>
      </c>
      <c r="H12" s="2"/>
      <c r="I12" s="2"/>
      <c r="J12" s="2"/>
      <c r="K12" s="2"/>
    </row>
    <row r="13" spans="1:11">
      <c r="A13" t="s">
        <v>12</v>
      </c>
      <c r="B13" s="2">
        <v>1.0429999999999999</v>
      </c>
      <c r="C13" s="2"/>
      <c r="D13" s="2"/>
      <c r="E13" s="2"/>
      <c r="F13" s="2"/>
      <c r="G13" s="2">
        <v>1.1819999999999999</v>
      </c>
      <c r="H13" s="2"/>
      <c r="I13" s="2"/>
      <c r="J13" s="2"/>
      <c r="K13" s="2"/>
    </row>
    <row r="14" spans="1:11">
      <c r="A14" t="s">
        <v>13</v>
      </c>
      <c r="B14" s="2">
        <v>1.0580000000000001</v>
      </c>
      <c r="C14" s="2"/>
      <c r="D14" s="2"/>
      <c r="E14" s="2"/>
      <c r="F14" s="2"/>
      <c r="G14" s="2">
        <v>1.1930000000000001</v>
      </c>
      <c r="H14" s="2"/>
      <c r="I14" s="2"/>
      <c r="J14" s="2"/>
      <c r="K14" s="2"/>
    </row>
    <row r="15" spans="1:11">
      <c r="A15" t="s">
        <v>14</v>
      </c>
      <c r="B15" s="2">
        <v>1.091</v>
      </c>
      <c r="C15" s="2"/>
      <c r="D15" s="2"/>
      <c r="E15" s="2"/>
      <c r="F15" s="2"/>
      <c r="G15" s="2">
        <v>1.1319999999999999</v>
      </c>
      <c r="H15" s="2"/>
      <c r="I15" s="2"/>
      <c r="J15" s="2"/>
      <c r="K15" s="2"/>
    </row>
    <row r="16" spans="1:11">
      <c r="A16" t="s">
        <v>15</v>
      </c>
      <c r="B16" s="2">
        <v>0.94299999999999995</v>
      </c>
      <c r="C16" s="2"/>
      <c r="D16" s="2"/>
      <c r="E16" s="2"/>
      <c r="F16" s="2"/>
      <c r="G16" s="2">
        <v>1.1639999999999999</v>
      </c>
      <c r="H16" s="2"/>
      <c r="I16" s="2"/>
      <c r="J16" s="2"/>
      <c r="K16" s="2"/>
    </row>
    <row r="17" spans="1:24">
      <c r="A17" t="s">
        <v>16</v>
      </c>
      <c r="B17" s="2">
        <v>0.94699999999999995</v>
      </c>
      <c r="C17" s="2"/>
      <c r="D17" s="2"/>
      <c r="E17" s="2"/>
      <c r="F17" s="2"/>
      <c r="G17" s="2">
        <v>1.0900000000000001</v>
      </c>
      <c r="H17" s="2"/>
      <c r="I17" s="2"/>
      <c r="J17" s="2"/>
      <c r="K17" s="2"/>
    </row>
    <row r="18" spans="1:24">
      <c r="A18" t="s">
        <v>17</v>
      </c>
      <c r="B18" s="2">
        <v>0.95099999999999996</v>
      </c>
      <c r="C18" s="2"/>
      <c r="D18" s="2"/>
      <c r="E18" s="2"/>
      <c r="F18" s="2"/>
      <c r="G18" s="2">
        <v>1.157</v>
      </c>
      <c r="H18" s="2"/>
      <c r="I18" s="2"/>
      <c r="J18" s="2"/>
      <c r="K18" s="2"/>
      <c r="O18" s="3"/>
      <c r="P18" s="3"/>
      <c r="Q18" s="3"/>
      <c r="R18" s="3"/>
      <c r="S18" s="3"/>
      <c r="T18" s="3"/>
      <c r="U18" s="3"/>
      <c r="V18" s="3"/>
      <c r="W18" s="3"/>
      <c r="X18" s="3"/>
    </row>
    <row r="19" spans="1:24">
      <c r="A19" t="s">
        <v>18</v>
      </c>
      <c r="B19" s="2">
        <v>0.999</v>
      </c>
      <c r="C19" s="2"/>
      <c r="D19" s="2"/>
      <c r="E19" s="2"/>
      <c r="F19" s="2"/>
      <c r="G19" s="2">
        <v>1.0266999999999999</v>
      </c>
      <c r="H19" s="2"/>
      <c r="I19" s="2"/>
      <c r="J19" s="2"/>
      <c r="K19" s="2"/>
      <c r="O19" s="3"/>
      <c r="P19" s="3"/>
      <c r="Q19" s="3"/>
      <c r="R19" s="3"/>
      <c r="S19" s="3"/>
      <c r="T19" s="3"/>
      <c r="U19" s="3"/>
      <c r="V19" s="3"/>
      <c r="W19" s="3"/>
      <c r="X19" s="3"/>
    </row>
    <row r="20" spans="1:24">
      <c r="A20" t="s">
        <v>19</v>
      </c>
      <c r="B20" s="2">
        <v>1.002</v>
      </c>
      <c r="C20" s="2"/>
      <c r="D20" s="2"/>
      <c r="E20" s="2"/>
      <c r="F20" s="2"/>
      <c r="G20" s="2">
        <v>1.385</v>
      </c>
      <c r="H20" s="2"/>
      <c r="I20" s="2"/>
      <c r="J20" s="2"/>
      <c r="K20" s="2"/>
      <c r="O20" s="3"/>
      <c r="P20" s="3"/>
      <c r="Q20" s="3"/>
      <c r="R20" s="3"/>
      <c r="S20" s="3"/>
      <c r="T20" s="3"/>
      <c r="U20" s="3"/>
      <c r="V20" s="3"/>
      <c r="W20" s="3"/>
      <c r="X20" s="3"/>
    </row>
    <row r="21" spans="1:24">
      <c r="O21" s="3"/>
      <c r="P21" s="3"/>
      <c r="Q21" s="3"/>
      <c r="R21" s="3"/>
      <c r="S21" s="3"/>
      <c r="T21" s="3"/>
      <c r="U21" s="3"/>
      <c r="V21" s="3"/>
      <c r="W21" s="3"/>
      <c r="X21" s="3"/>
    </row>
    <row r="22" spans="1:24">
      <c r="O22" s="3"/>
      <c r="P22" s="3"/>
      <c r="Q22" s="3"/>
      <c r="R22" s="3"/>
      <c r="S22" s="3"/>
      <c r="T22" s="3"/>
      <c r="U22" s="3"/>
      <c r="V22" s="3"/>
      <c r="W22" s="3"/>
      <c r="X22" s="3"/>
    </row>
    <row r="23" spans="1:24">
      <c r="O23" s="3"/>
      <c r="P23" s="3"/>
      <c r="Q23" s="3"/>
      <c r="R23" s="3"/>
      <c r="S23" s="3"/>
      <c r="T23" s="3"/>
      <c r="U23" s="3"/>
      <c r="V23" s="3"/>
      <c r="W23" s="3"/>
      <c r="X23" s="3"/>
    </row>
    <row r="24" spans="1:24">
      <c r="A24" t="s">
        <v>20</v>
      </c>
      <c r="O24" s="3"/>
      <c r="P24" s="3"/>
      <c r="Q24" s="3"/>
      <c r="R24" s="3"/>
      <c r="S24" s="3"/>
      <c r="T24" s="3"/>
      <c r="U24" s="3"/>
      <c r="V24" s="3"/>
      <c r="W24" s="3"/>
      <c r="X24" s="3"/>
    </row>
    <row r="25" spans="1:24">
      <c r="A25" t="s">
        <v>34</v>
      </c>
      <c r="B25">
        <f>_xlfn.T.TEST(B6:B20,C6:C10,2,2)</f>
        <v>1.5874222224364993E-6</v>
      </c>
      <c r="O25" s="3"/>
      <c r="P25" s="3"/>
      <c r="Q25" s="3"/>
      <c r="R25" s="3"/>
      <c r="S25" s="3"/>
      <c r="T25" s="3"/>
      <c r="U25" s="3"/>
      <c r="V25" s="3"/>
      <c r="W25" s="3"/>
      <c r="X25" s="3"/>
    </row>
    <row r="26" spans="1:24">
      <c r="A26" t="s">
        <v>35</v>
      </c>
      <c r="B26">
        <f>_xlfn.T.TEST(B6:B20,D6:D10,2,2)</f>
        <v>8.6923136042489814E-10</v>
      </c>
      <c r="O26" s="3"/>
      <c r="P26" s="3"/>
      <c r="Q26" s="3"/>
      <c r="R26" s="3"/>
      <c r="S26" s="3"/>
      <c r="T26" s="3"/>
      <c r="U26" s="3"/>
      <c r="V26" s="3"/>
      <c r="W26" s="3"/>
      <c r="X26" s="3"/>
    </row>
    <row r="27" spans="1:24">
      <c r="A27" t="s">
        <v>36</v>
      </c>
      <c r="B27">
        <f>_xlfn.T.TEST(B6:B20,E6:E10,2,2)</f>
        <v>1.8888478893466481E-11</v>
      </c>
      <c r="O27" s="3"/>
      <c r="P27" s="3"/>
      <c r="Q27" s="3"/>
      <c r="R27" s="3"/>
      <c r="S27" s="3"/>
      <c r="T27" s="3"/>
      <c r="U27" s="3"/>
      <c r="V27" s="3"/>
      <c r="W27" s="3"/>
      <c r="X27" s="3"/>
    </row>
    <row r="28" spans="1:24">
      <c r="A28" t="s">
        <v>37</v>
      </c>
      <c r="B28">
        <f>_xlfn.T.TEST(B6:B20,F6:F10,2,2)</f>
        <v>9.2195258998927284E-15</v>
      </c>
      <c r="O28" s="3"/>
      <c r="P28" s="3"/>
      <c r="Q28" s="3"/>
      <c r="R28" s="3"/>
      <c r="S28" s="3"/>
      <c r="T28" s="3"/>
      <c r="U28" s="3"/>
      <c r="V28" s="3"/>
      <c r="W28" s="3"/>
      <c r="X28" s="3"/>
    </row>
    <row r="29" spans="1:24">
      <c r="A29" t="s">
        <v>42</v>
      </c>
      <c r="B29">
        <f>_xlfn.T.TEST(B6:B20,G6:G20,2,2)</f>
        <v>1.5567737397675613E-6</v>
      </c>
      <c r="O29" s="3"/>
      <c r="P29" s="3"/>
      <c r="Q29" s="3"/>
      <c r="R29" s="3"/>
      <c r="S29" s="3"/>
      <c r="T29" s="3"/>
      <c r="U29" s="3"/>
      <c r="V29" s="3"/>
      <c r="W29" s="3"/>
      <c r="X29" s="3"/>
    </row>
    <row r="30" spans="1:24">
      <c r="A30" t="s">
        <v>38</v>
      </c>
      <c r="B30">
        <f>_xlfn.T.TEST(G6:G20,H6:H10,2,2)</f>
        <v>4.9331627415191974E-2</v>
      </c>
      <c r="O30" s="3"/>
      <c r="P30" s="3"/>
      <c r="Q30" s="3"/>
      <c r="R30" s="3"/>
      <c r="S30" s="3"/>
      <c r="T30" s="3"/>
      <c r="U30" s="3"/>
      <c r="V30" s="3"/>
      <c r="W30" s="3"/>
      <c r="X30" s="3"/>
    </row>
    <row r="31" spans="1:24">
      <c r="A31" t="s">
        <v>39</v>
      </c>
      <c r="B31">
        <f>_xlfn.T.TEST(G6:G20,I6:I10,2,2)</f>
        <v>1.7361857294213943E-5</v>
      </c>
      <c r="O31" s="3"/>
      <c r="P31" s="3"/>
      <c r="Q31" s="3"/>
      <c r="R31" s="3"/>
      <c r="S31" s="3"/>
      <c r="T31" s="3"/>
      <c r="U31" s="3"/>
      <c r="V31" s="3"/>
      <c r="W31" s="3"/>
      <c r="X31" s="3"/>
    </row>
    <row r="32" spans="1:24">
      <c r="A32" t="s">
        <v>40</v>
      </c>
      <c r="B32">
        <f>_xlfn.T.TEST(G6:G20,J6:J10,2,2)</f>
        <v>6.5458919824994006E-13</v>
      </c>
      <c r="O32" s="3"/>
      <c r="P32" s="3"/>
      <c r="Q32" s="3"/>
      <c r="R32" s="3"/>
      <c r="S32" s="3"/>
      <c r="T32" s="3"/>
      <c r="U32" s="3"/>
      <c r="V32" s="3"/>
      <c r="W32" s="3"/>
      <c r="X32" s="3"/>
    </row>
    <row r="33" spans="1:2">
      <c r="A33" t="s">
        <v>41</v>
      </c>
      <c r="B33">
        <f>_xlfn.T.TEST(G6:G20,K6:K10,2,2)</f>
        <v>1.0113513794531933E-13</v>
      </c>
    </row>
    <row r="34" spans="1:2">
      <c r="A34" t="s">
        <v>485</v>
      </c>
      <c r="B34">
        <f>_xlfn.T.TEST(F6:F10,K6:K10,2,2)</f>
        <v>1.8127814366907059E-2</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zoomScale="85" zoomScaleNormal="85" workbookViewId="0"/>
  </sheetViews>
  <sheetFormatPr defaultRowHeight="15"/>
  <cols>
    <col min="2" max="2" width="16.140625" customWidth="1"/>
    <col min="3" max="3" width="11.28515625" customWidth="1"/>
    <col min="4" max="4" width="17.7109375" customWidth="1"/>
    <col min="9" max="9" width="17.5703125" customWidth="1"/>
    <col min="11" max="11" width="15.42578125" customWidth="1"/>
  </cols>
  <sheetData>
    <row r="1" spans="1:13" ht="15.75">
      <c r="A1" s="76" t="s">
        <v>532</v>
      </c>
    </row>
    <row r="3" spans="1:13">
      <c r="B3" s="5" t="s">
        <v>31</v>
      </c>
      <c r="C3" t="s">
        <v>503</v>
      </c>
      <c r="D3" t="s">
        <v>505</v>
      </c>
      <c r="E3" t="s">
        <v>100</v>
      </c>
      <c r="F3" s="68" t="s">
        <v>504</v>
      </c>
      <c r="I3" s="5" t="s">
        <v>33</v>
      </c>
      <c r="J3" t="s">
        <v>503</v>
      </c>
      <c r="K3" t="s">
        <v>505</v>
      </c>
      <c r="L3" t="s">
        <v>100</v>
      </c>
      <c r="M3" s="68" t="s">
        <v>504</v>
      </c>
    </row>
    <row r="4" spans="1:13">
      <c r="A4" t="s">
        <v>111</v>
      </c>
      <c r="B4" t="s">
        <v>495</v>
      </c>
      <c r="C4" s="52">
        <v>73</v>
      </c>
      <c r="D4">
        <f>C4/125</f>
        <v>0.58399999999999996</v>
      </c>
      <c r="H4" t="s">
        <v>111</v>
      </c>
      <c r="I4" t="s">
        <v>495</v>
      </c>
      <c r="J4" s="52">
        <v>92</v>
      </c>
      <c r="K4">
        <f>J4/125</f>
        <v>0.73599999999999999</v>
      </c>
    </row>
    <row r="5" spans="1:13">
      <c r="C5" s="52">
        <v>63</v>
      </c>
      <c r="D5">
        <f t="shared" ref="D5:D6" si="0">C5/125</f>
        <v>0.504</v>
      </c>
      <c r="J5" s="52">
        <v>77</v>
      </c>
      <c r="K5">
        <f t="shared" ref="K5:K6" si="1">J5/125</f>
        <v>0.61599999999999999</v>
      </c>
    </row>
    <row r="6" spans="1:13">
      <c r="C6" s="52">
        <v>64</v>
      </c>
      <c r="D6">
        <f t="shared" si="0"/>
        <v>0.51200000000000001</v>
      </c>
      <c r="E6">
        <f>AVERAGE(D4:D6)</f>
        <v>0.53333333333333333</v>
      </c>
      <c r="F6">
        <f>E6/E6</f>
        <v>1</v>
      </c>
      <c r="J6" s="52">
        <v>81</v>
      </c>
      <c r="K6">
        <f t="shared" si="1"/>
        <v>0.64800000000000002</v>
      </c>
      <c r="L6">
        <f>AVERAGE(K4:K6)</f>
        <v>0.66666666666666663</v>
      </c>
      <c r="M6">
        <f>L6/L6</f>
        <v>1</v>
      </c>
    </row>
    <row r="8" spans="1:13">
      <c r="A8" t="s">
        <v>114</v>
      </c>
      <c r="B8" t="s">
        <v>112</v>
      </c>
      <c r="C8" s="52">
        <v>132</v>
      </c>
      <c r="D8">
        <f>C8/250</f>
        <v>0.52800000000000002</v>
      </c>
      <c r="H8" t="s">
        <v>114</v>
      </c>
      <c r="I8" t="s">
        <v>112</v>
      </c>
      <c r="J8" s="52">
        <v>164</v>
      </c>
      <c r="K8">
        <f>J8/250</f>
        <v>0.65600000000000003</v>
      </c>
    </row>
    <row r="9" spans="1:13">
      <c r="C9" s="52">
        <v>118</v>
      </c>
      <c r="D9">
        <f t="shared" ref="D9:D10" si="2">C9/250</f>
        <v>0.47199999999999998</v>
      </c>
      <c r="J9" s="52">
        <v>129</v>
      </c>
      <c r="K9">
        <f t="shared" ref="K9:K10" si="3">J9/250</f>
        <v>0.51600000000000001</v>
      </c>
    </row>
    <row r="10" spans="1:13">
      <c r="C10" s="52">
        <v>126</v>
      </c>
      <c r="D10">
        <f t="shared" si="2"/>
        <v>0.504</v>
      </c>
      <c r="E10">
        <f>AVERAGE(D8:D10)</f>
        <v>0.5013333333333333</v>
      </c>
      <c r="F10">
        <f>E10/E6</f>
        <v>0.94</v>
      </c>
      <c r="J10" s="52">
        <v>134</v>
      </c>
      <c r="K10">
        <f t="shared" si="3"/>
        <v>0.53600000000000003</v>
      </c>
      <c r="L10">
        <f>AVERAGE(K8:K10)</f>
        <v>0.56933333333333336</v>
      </c>
      <c r="M10">
        <f>L10/L6</f>
        <v>0.85400000000000009</v>
      </c>
    </row>
    <row r="12" spans="1:13">
      <c r="A12" t="s">
        <v>114</v>
      </c>
      <c r="B12" t="s">
        <v>112</v>
      </c>
      <c r="C12" s="52">
        <v>102</v>
      </c>
      <c r="D12">
        <f>C12/250</f>
        <v>0.40799999999999997</v>
      </c>
      <c r="H12" t="s">
        <v>114</v>
      </c>
      <c r="I12" t="s">
        <v>112</v>
      </c>
      <c r="J12" s="52">
        <v>132</v>
      </c>
      <c r="K12">
        <f>J12/250</f>
        <v>0.52800000000000002</v>
      </c>
    </row>
    <row r="13" spans="1:13">
      <c r="C13" s="52">
        <v>127</v>
      </c>
      <c r="D13">
        <f t="shared" ref="D13:D14" si="4">C13/250</f>
        <v>0.50800000000000001</v>
      </c>
      <c r="J13" s="52">
        <v>129</v>
      </c>
      <c r="K13">
        <f t="shared" ref="K13:K14" si="5">J13/250</f>
        <v>0.51600000000000001</v>
      </c>
    </row>
    <row r="14" spans="1:13">
      <c r="C14" s="52">
        <v>114</v>
      </c>
      <c r="D14">
        <f t="shared" si="4"/>
        <v>0.45600000000000002</v>
      </c>
      <c r="E14">
        <f>AVERAGE(D12:D14)</f>
        <v>0.45733333333333331</v>
      </c>
      <c r="F14">
        <f>E14/E6</f>
        <v>0.85749999999999993</v>
      </c>
      <c r="J14" s="52">
        <v>99</v>
      </c>
      <c r="K14">
        <f t="shared" si="5"/>
        <v>0.39600000000000002</v>
      </c>
      <c r="L14">
        <f>AVERAGE(K12:K14)</f>
        <v>0.48</v>
      </c>
      <c r="M14">
        <f>L14/L6</f>
        <v>0.72</v>
      </c>
    </row>
    <row r="16" spans="1:13">
      <c r="A16" t="s">
        <v>115</v>
      </c>
      <c r="B16" t="s">
        <v>112</v>
      </c>
      <c r="C16" s="52">
        <v>102</v>
      </c>
      <c r="D16">
        <f>C16/250</f>
        <v>0.40799999999999997</v>
      </c>
      <c r="H16" t="s">
        <v>115</v>
      </c>
      <c r="I16" t="s">
        <v>112</v>
      </c>
      <c r="J16" s="52">
        <v>95</v>
      </c>
      <c r="K16">
        <f>J16/250</f>
        <v>0.38</v>
      </c>
    </row>
    <row r="17" spans="1:13">
      <c r="C17" s="52">
        <v>104</v>
      </c>
      <c r="D17">
        <f t="shared" ref="D17:D18" si="6">C17/250</f>
        <v>0.41599999999999998</v>
      </c>
      <c r="J17" s="52">
        <v>98</v>
      </c>
      <c r="K17">
        <f t="shared" ref="K17:K18" si="7">J17/250</f>
        <v>0.39200000000000002</v>
      </c>
    </row>
    <row r="18" spans="1:13">
      <c r="C18" s="52">
        <v>93</v>
      </c>
      <c r="D18">
        <f t="shared" si="6"/>
        <v>0.372</v>
      </c>
      <c r="E18">
        <f>AVERAGE(D16:D18)</f>
        <v>0.39866666666666667</v>
      </c>
      <c r="F18">
        <f>E18/E6</f>
        <v>0.74750000000000005</v>
      </c>
      <c r="J18" s="52">
        <v>104</v>
      </c>
      <c r="K18">
        <f t="shared" si="7"/>
        <v>0.41599999999999998</v>
      </c>
      <c r="L18">
        <f>AVERAGE(K16:K18)</f>
        <v>0.39599999999999996</v>
      </c>
      <c r="M18">
        <f>L18/L6</f>
        <v>0.59399999999999997</v>
      </c>
    </row>
    <row r="20" spans="1:13">
      <c r="A20" t="s">
        <v>496</v>
      </c>
      <c r="B20" t="s">
        <v>117</v>
      </c>
      <c r="C20" s="52">
        <v>130</v>
      </c>
      <c r="D20">
        <f>C20/500</f>
        <v>0.26</v>
      </c>
      <c r="H20" t="s">
        <v>496</v>
      </c>
      <c r="I20" t="s">
        <v>117</v>
      </c>
      <c r="J20" s="52">
        <v>138</v>
      </c>
      <c r="K20">
        <f>J20/500</f>
        <v>0.27600000000000002</v>
      </c>
    </row>
    <row r="21" spans="1:13">
      <c r="C21" s="52">
        <v>137</v>
      </c>
      <c r="D21">
        <f t="shared" ref="D21:D22" si="8">C21/500</f>
        <v>0.27400000000000002</v>
      </c>
      <c r="J21" s="52">
        <v>144</v>
      </c>
      <c r="K21">
        <f t="shared" ref="K21:K22" si="9">J21/500</f>
        <v>0.28799999999999998</v>
      </c>
    </row>
    <row r="22" spans="1:13">
      <c r="C22" s="52">
        <v>131</v>
      </c>
      <c r="D22">
        <f t="shared" si="8"/>
        <v>0.26200000000000001</v>
      </c>
      <c r="E22">
        <f>AVERAGE(D20:D22)</f>
        <v>0.26533333333333337</v>
      </c>
      <c r="F22">
        <f>E22/E6</f>
        <v>0.49750000000000005</v>
      </c>
      <c r="J22" s="52">
        <v>105</v>
      </c>
      <c r="K22">
        <f t="shared" si="9"/>
        <v>0.21</v>
      </c>
      <c r="L22">
        <f>AVERAGE(K20:K22)</f>
        <v>0.25800000000000001</v>
      </c>
      <c r="M22">
        <f>L22/L6</f>
        <v>0.38700000000000001</v>
      </c>
    </row>
    <row r="24" spans="1:13">
      <c r="A24" t="s">
        <v>497</v>
      </c>
      <c r="B24" t="s">
        <v>117</v>
      </c>
      <c r="C24" s="52">
        <v>92</v>
      </c>
      <c r="D24">
        <f>C24/500</f>
        <v>0.184</v>
      </c>
      <c r="H24" t="s">
        <v>497</v>
      </c>
      <c r="I24" t="s">
        <v>117</v>
      </c>
      <c r="J24" s="52">
        <v>96</v>
      </c>
      <c r="K24">
        <f>J24/500</f>
        <v>0.192</v>
      </c>
    </row>
    <row r="25" spans="1:13">
      <c r="C25" s="52">
        <v>94</v>
      </c>
      <c r="D25">
        <f t="shared" ref="D25:D26" si="10">C25/500</f>
        <v>0.188</v>
      </c>
      <c r="J25" s="52">
        <v>83</v>
      </c>
      <c r="K25">
        <f t="shared" ref="K25:K26" si="11">J25/500</f>
        <v>0.16600000000000001</v>
      </c>
    </row>
    <row r="26" spans="1:13">
      <c r="C26" s="52">
        <v>79</v>
      </c>
      <c r="D26">
        <f t="shared" si="10"/>
        <v>0.158</v>
      </c>
      <c r="E26">
        <f>AVERAGE(D24:D26)</f>
        <v>0.17666666666666667</v>
      </c>
      <c r="F26">
        <f>E26/E6</f>
        <v>0.33124999999999999</v>
      </c>
      <c r="J26" s="52">
        <v>96</v>
      </c>
      <c r="K26">
        <f t="shared" si="11"/>
        <v>0.192</v>
      </c>
      <c r="L26">
        <f>AVERAGE(K24:K26)</f>
        <v>0.18333333333333335</v>
      </c>
      <c r="M26">
        <f>L26/L6</f>
        <v>0.27500000000000002</v>
      </c>
    </row>
    <row r="28" spans="1:13">
      <c r="A28" t="s">
        <v>498</v>
      </c>
      <c r="B28" t="s">
        <v>120</v>
      </c>
      <c r="C28" s="52">
        <v>93</v>
      </c>
      <c r="D28">
        <f>C28/1000</f>
        <v>9.2999999999999999E-2</v>
      </c>
      <c r="H28" t="s">
        <v>498</v>
      </c>
      <c r="I28" t="s">
        <v>120</v>
      </c>
      <c r="J28" s="52">
        <v>69</v>
      </c>
      <c r="K28">
        <f>J28/1000</f>
        <v>6.9000000000000006E-2</v>
      </c>
    </row>
    <row r="29" spans="1:13">
      <c r="C29" s="52">
        <v>74</v>
      </c>
      <c r="D29">
        <f t="shared" ref="D29:D30" si="12">C29/1000</f>
        <v>7.3999999999999996E-2</v>
      </c>
      <c r="J29" s="52">
        <v>59</v>
      </c>
      <c r="K29">
        <f t="shared" ref="K29:K30" si="13">J29/1000</f>
        <v>5.8999999999999997E-2</v>
      </c>
    </row>
    <row r="30" spans="1:13">
      <c r="C30" s="52">
        <v>64</v>
      </c>
      <c r="D30">
        <f t="shared" si="12"/>
        <v>6.4000000000000001E-2</v>
      </c>
      <c r="E30">
        <f>AVERAGE(D28:D30)</f>
        <v>7.6999999999999999E-2</v>
      </c>
      <c r="F30">
        <f>E30/E6</f>
        <v>0.144375</v>
      </c>
      <c r="J30" s="52">
        <v>68</v>
      </c>
      <c r="K30">
        <f t="shared" si="13"/>
        <v>6.8000000000000005E-2</v>
      </c>
      <c r="L30">
        <f>AVERAGE(K28:K30)</f>
        <v>6.533333333333334E-2</v>
      </c>
      <c r="M30">
        <f>L30/L6</f>
        <v>9.8000000000000018E-2</v>
      </c>
    </row>
    <row r="32" spans="1:13">
      <c r="A32" t="s">
        <v>499</v>
      </c>
      <c r="B32" t="s">
        <v>122</v>
      </c>
      <c r="C32" s="52">
        <v>77</v>
      </c>
      <c r="D32">
        <f>C32/2000</f>
        <v>3.85E-2</v>
      </c>
      <c r="H32" t="s">
        <v>499</v>
      </c>
      <c r="I32" t="s">
        <v>122</v>
      </c>
      <c r="J32" s="52">
        <v>68</v>
      </c>
      <c r="K32">
        <f>J32/2000</f>
        <v>3.4000000000000002E-2</v>
      </c>
    </row>
    <row r="33" spans="3:13">
      <c r="C33" s="52">
        <v>59</v>
      </c>
      <c r="D33">
        <f t="shared" ref="D33:D34" si="14">C33/2000</f>
        <v>2.9499999999999998E-2</v>
      </c>
      <c r="J33" s="52">
        <v>47</v>
      </c>
      <c r="K33">
        <f t="shared" ref="K33:K34" si="15">J33/2000</f>
        <v>2.35E-2</v>
      </c>
    </row>
    <row r="34" spans="3:13">
      <c r="C34" s="52">
        <v>78</v>
      </c>
      <c r="D34">
        <f t="shared" si="14"/>
        <v>3.9E-2</v>
      </c>
      <c r="E34">
        <f>AVERAGE(D32:D34)</f>
        <v>3.5666666666666673E-2</v>
      </c>
      <c r="F34">
        <f>E34/E6</f>
        <v>6.6875000000000018E-2</v>
      </c>
      <c r="J34" s="52">
        <v>62</v>
      </c>
      <c r="K34">
        <f t="shared" si="15"/>
        <v>3.1E-2</v>
      </c>
      <c r="L34">
        <f>AVERAGE(K32:K34)</f>
        <v>2.9499999999999998E-2</v>
      </c>
      <c r="M34">
        <f>L34/L6</f>
        <v>4.4249999999999998E-2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zoomScale="85" zoomScaleNormal="85" workbookViewId="0"/>
  </sheetViews>
  <sheetFormatPr defaultRowHeight="15"/>
  <cols>
    <col min="1" max="1" width="25" customWidth="1"/>
  </cols>
  <sheetData>
    <row r="1" spans="1:5" ht="15.75">
      <c r="A1" s="76" t="s">
        <v>533</v>
      </c>
    </row>
    <row r="3" spans="1:5">
      <c r="B3" t="s">
        <v>31</v>
      </c>
      <c r="C3" t="s">
        <v>31</v>
      </c>
      <c r="D3" t="s">
        <v>33</v>
      </c>
      <c r="E3" t="s">
        <v>33</v>
      </c>
    </row>
    <row r="4" spans="1:5">
      <c r="B4" t="s">
        <v>0</v>
      </c>
      <c r="C4" t="s">
        <v>4</v>
      </c>
      <c r="D4" t="s">
        <v>0</v>
      </c>
      <c r="E4" t="s">
        <v>4</v>
      </c>
    </row>
    <row r="5" spans="1:5">
      <c r="A5" t="s">
        <v>506</v>
      </c>
      <c r="B5" s="1">
        <v>126</v>
      </c>
      <c r="C5" s="1">
        <v>56</v>
      </c>
      <c r="D5" s="1">
        <v>131</v>
      </c>
      <c r="E5" s="1">
        <v>39</v>
      </c>
    </row>
    <row r="6" spans="1:5">
      <c r="A6" t="s">
        <v>507</v>
      </c>
      <c r="B6" s="1">
        <v>101</v>
      </c>
      <c r="C6" s="1">
        <v>59</v>
      </c>
      <c r="D6" s="1">
        <v>119</v>
      </c>
      <c r="E6" s="1">
        <v>47</v>
      </c>
    </row>
    <row r="7" spans="1:5">
      <c r="A7" t="s">
        <v>508</v>
      </c>
      <c r="B7" s="1">
        <v>114</v>
      </c>
      <c r="C7" s="1">
        <v>72</v>
      </c>
      <c r="D7" s="1">
        <v>148</v>
      </c>
      <c r="E7" s="1">
        <v>24</v>
      </c>
    </row>
    <row r="8" spans="1:5">
      <c r="A8" t="s">
        <v>509</v>
      </c>
      <c r="B8" s="1">
        <v>91</v>
      </c>
      <c r="C8" s="1">
        <v>54</v>
      </c>
      <c r="D8" s="1">
        <v>124</v>
      </c>
      <c r="E8" s="1">
        <v>37</v>
      </c>
    </row>
    <row r="11" spans="1:5">
      <c r="B11" t="s">
        <v>20</v>
      </c>
    </row>
    <row r="12" spans="1:5">
      <c r="A12" t="s">
        <v>123</v>
      </c>
      <c r="B12">
        <f>_xlfn.T.TEST(B5:B8,C5:C8,2,1)</f>
        <v>7.8712027847990633E-3</v>
      </c>
    </row>
    <row r="13" spans="1:5">
      <c r="A13" t="s">
        <v>125</v>
      </c>
      <c r="B13">
        <f>_xlfn.T.TEST(B5:B8,D5:D8,2,1)</f>
        <v>4.6864973386909536E-2</v>
      </c>
    </row>
    <row r="14" spans="1:5">
      <c r="A14" t="s">
        <v>124</v>
      </c>
      <c r="B14">
        <f>_xlfn.T.TEST(D5:D8,E5:E8,2,1)</f>
        <v>3.3416301491954689E-3</v>
      </c>
      <c r="C14" s="1"/>
      <c r="D14" s="1"/>
      <c r="E14" s="1"/>
    </row>
    <row r="15" spans="1:5">
      <c r="B15" s="1"/>
      <c r="C15" s="1"/>
      <c r="D15" s="1"/>
      <c r="E15" s="1"/>
    </row>
    <row r="16" spans="1:5">
      <c r="B16" s="1"/>
      <c r="C16" s="1"/>
      <c r="D16" s="1"/>
      <c r="E16" s="1"/>
    </row>
    <row r="17" spans="2:5">
      <c r="B17" s="1"/>
      <c r="C17" s="1"/>
      <c r="D17" s="1"/>
      <c r="E17" s="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1"/>
  <sheetViews>
    <sheetView zoomScale="85" zoomScaleNormal="85" workbookViewId="0"/>
  </sheetViews>
  <sheetFormatPr defaultRowHeight="15"/>
  <cols>
    <col min="5" max="5" width="11.42578125" customWidth="1"/>
    <col min="8" max="8" width="11.85546875" customWidth="1"/>
    <col min="17" max="17" width="11.85546875" customWidth="1"/>
    <col min="20" max="20" width="25" customWidth="1"/>
    <col min="21" max="21" width="12.28515625" customWidth="1"/>
    <col min="22" max="22" width="22.140625" customWidth="1"/>
  </cols>
  <sheetData>
    <row r="1" spans="1:21" ht="15.75">
      <c r="A1" s="75" t="s">
        <v>521</v>
      </c>
    </row>
    <row r="3" spans="1:21" ht="15.75" thickBot="1"/>
    <row r="4" spans="1:21">
      <c r="B4" s="6"/>
      <c r="C4" s="7"/>
      <c r="D4" s="7"/>
      <c r="E4" s="7"/>
      <c r="F4" s="8"/>
      <c r="G4" s="9"/>
      <c r="H4" s="10" t="s">
        <v>95</v>
      </c>
      <c r="K4" s="6"/>
      <c r="L4" s="7"/>
      <c r="M4" s="7"/>
      <c r="N4" s="7"/>
      <c r="O4" s="8"/>
      <c r="P4" s="9"/>
      <c r="Q4" s="10" t="s">
        <v>95</v>
      </c>
    </row>
    <row r="5" spans="1:21">
      <c r="B5" s="11"/>
      <c r="C5" s="24" t="s">
        <v>96</v>
      </c>
      <c r="D5" s="12"/>
      <c r="E5" s="12"/>
      <c r="F5" s="13"/>
      <c r="G5" s="14" t="s">
        <v>97</v>
      </c>
      <c r="H5" s="15">
        <v>20</v>
      </c>
      <c r="K5" s="11"/>
      <c r="L5" s="24" t="s">
        <v>109</v>
      </c>
      <c r="M5" s="12"/>
      <c r="N5" s="12"/>
      <c r="O5" s="13"/>
      <c r="P5" s="14" t="s">
        <v>97</v>
      </c>
      <c r="Q5" s="15">
        <v>20</v>
      </c>
    </row>
    <row r="6" spans="1:21">
      <c r="B6" s="11"/>
      <c r="C6" s="12" t="s">
        <v>99</v>
      </c>
      <c r="D6" s="12" t="s">
        <v>100</v>
      </c>
      <c r="E6" s="12" t="s">
        <v>514</v>
      </c>
      <c r="F6" s="16" t="s">
        <v>515</v>
      </c>
      <c r="G6" s="12" t="s">
        <v>514</v>
      </c>
      <c r="H6" s="17" t="s">
        <v>514</v>
      </c>
      <c r="K6" s="11"/>
      <c r="L6" s="12" t="s">
        <v>99</v>
      </c>
      <c r="M6" s="12" t="s">
        <v>100</v>
      </c>
      <c r="N6" s="12" t="s">
        <v>514</v>
      </c>
      <c r="O6" s="16" t="s">
        <v>515</v>
      </c>
      <c r="P6" s="12" t="s">
        <v>514</v>
      </c>
      <c r="Q6" s="17" t="s">
        <v>514</v>
      </c>
    </row>
    <row r="7" spans="1:21">
      <c r="B7" s="18" t="s">
        <v>101</v>
      </c>
      <c r="C7" s="12">
        <v>26.34</v>
      </c>
      <c r="D7" s="12">
        <f>AVERAGE(C7:C9)</f>
        <v>26.266666666666666</v>
      </c>
      <c r="E7" s="12">
        <v>30.83</v>
      </c>
      <c r="F7" s="19">
        <f t="shared" ref="F7:F21" si="0">E7-D7</f>
        <v>4.5633333333333326</v>
      </c>
      <c r="G7" s="19">
        <f t="shared" ref="G7:G21" si="1">1/(2^F7)</f>
        <v>4.2296047629288971E-2</v>
      </c>
      <c r="H7" s="20">
        <f t="shared" ref="H7:H21" si="2">G7*20</f>
        <v>0.84592095258577937</v>
      </c>
      <c r="K7" s="18" t="s">
        <v>101</v>
      </c>
      <c r="L7" s="12">
        <v>26.34</v>
      </c>
      <c r="M7" s="12">
        <f>AVERAGE(L7:L9)</f>
        <v>26.266666666666666</v>
      </c>
      <c r="N7" s="12">
        <v>34.51</v>
      </c>
      <c r="O7" s="19">
        <f t="shared" ref="O7:O21" si="3">N7-M7</f>
        <v>8.2433333333333323</v>
      </c>
      <c r="P7" s="19">
        <f t="shared" ref="P7:P21" si="4">1/(2^O7)</f>
        <v>3.2999655220899405E-3</v>
      </c>
      <c r="Q7" s="20">
        <f t="shared" ref="Q7:Q21" si="5">P7*20</f>
        <v>6.5999310441798811E-2</v>
      </c>
    </row>
    <row r="8" spans="1:21">
      <c r="B8" s="11"/>
      <c r="C8" s="12">
        <v>26.3</v>
      </c>
      <c r="D8" s="12">
        <v>26.266666666666666</v>
      </c>
      <c r="E8" s="12">
        <v>31.43</v>
      </c>
      <c r="F8" s="19">
        <f t="shared" si="0"/>
        <v>5.163333333333334</v>
      </c>
      <c r="G8" s="19">
        <f t="shared" si="1"/>
        <v>2.7904984720636929E-2</v>
      </c>
      <c r="H8" s="20">
        <f t="shared" si="2"/>
        <v>0.55809969441273855</v>
      </c>
      <c r="K8" s="11"/>
      <c r="L8" s="12">
        <v>26.3</v>
      </c>
      <c r="M8" s="12">
        <v>26.266666666666666</v>
      </c>
      <c r="N8" s="12">
        <v>34.31</v>
      </c>
      <c r="O8" s="19">
        <f t="shared" si="3"/>
        <v>8.0433333333333366</v>
      </c>
      <c r="P8" s="19">
        <f t="shared" si="4"/>
        <v>3.7906649667716332E-3</v>
      </c>
      <c r="Q8" s="20">
        <f t="shared" si="5"/>
        <v>7.5813299335432668E-2</v>
      </c>
    </row>
    <row r="9" spans="1:21">
      <c r="B9" s="11"/>
      <c r="C9" s="12">
        <v>26.16</v>
      </c>
      <c r="D9" s="12">
        <v>26.266666666666666</v>
      </c>
      <c r="E9" s="12">
        <v>31.09</v>
      </c>
      <c r="F9" s="19">
        <f t="shared" si="0"/>
        <v>4.8233333333333341</v>
      </c>
      <c r="G9" s="19">
        <f t="shared" si="1"/>
        <v>3.5320918414786115E-2</v>
      </c>
      <c r="H9" s="20">
        <f t="shared" si="2"/>
        <v>0.70641836829572235</v>
      </c>
      <c r="K9" s="11"/>
      <c r="L9" s="12">
        <v>26.16</v>
      </c>
      <c r="M9" s="12">
        <v>26.266666666666666</v>
      </c>
      <c r="N9" s="12">
        <v>34.57</v>
      </c>
      <c r="O9" s="19">
        <f t="shared" si="3"/>
        <v>8.3033333333333346</v>
      </c>
      <c r="P9" s="19">
        <f t="shared" si="4"/>
        <v>3.1655385203513383E-3</v>
      </c>
      <c r="Q9" s="20">
        <f t="shared" si="5"/>
        <v>6.3310770407026762E-2</v>
      </c>
    </row>
    <row r="10" spans="1:21">
      <c r="B10" s="18" t="s">
        <v>102</v>
      </c>
      <c r="C10" s="12">
        <v>25.36</v>
      </c>
      <c r="D10" s="12">
        <f>AVERAGE(C10:C12)</f>
        <v>25.310000000000002</v>
      </c>
      <c r="E10" s="69">
        <v>31.67</v>
      </c>
      <c r="F10" s="19">
        <f t="shared" si="0"/>
        <v>6.3599999999999994</v>
      </c>
      <c r="G10" s="19">
        <f t="shared" si="1"/>
        <v>1.2174446557195316E-2</v>
      </c>
      <c r="H10" s="20">
        <f t="shared" si="2"/>
        <v>0.24348893114390632</v>
      </c>
      <c r="K10" s="18" t="s">
        <v>102</v>
      </c>
      <c r="L10" s="12">
        <v>25.36</v>
      </c>
      <c r="M10" s="12">
        <f>AVERAGE(L10:L12)</f>
        <v>25.310000000000002</v>
      </c>
      <c r="N10" s="12">
        <v>34.65</v>
      </c>
      <c r="O10" s="19">
        <f t="shared" si="3"/>
        <v>9.3399999999999963</v>
      </c>
      <c r="P10" s="19">
        <f t="shared" si="4"/>
        <v>1.5430494372331625E-3</v>
      </c>
      <c r="Q10" s="20">
        <f t="shared" si="5"/>
        <v>3.086098874466325E-2</v>
      </c>
    </row>
    <row r="11" spans="1:21">
      <c r="B11" s="11"/>
      <c r="C11" s="12">
        <v>25.36</v>
      </c>
      <c r="D11" s="12">
        <v>25.310000000000002</v>
      </c>
      <c r="E11" s="69">
        <v>31.71</v>
      </c>
      <c r="F11" s="19">
        <f t="shared" si="0"/>
        <v>6.3999999999999986</v>
      </c>
      <c r="G11" s="19">
        <f t="shared" si="1"/>
        <v>1.18415356758625E-2</v>
      </c>
      <c r="H11" s="20">
        <f t="shared" si="2"/>
        <v>0.23683071351724999</v>
      </c>
      <c r="K11" s="11"/>
      <c r="L11" s="12">
        <v>25.36</v>
      </c>
      <c r="M11" s="12">
        <v>25.310000000000002</v>
      </c>
      <c r="N11" s="12">
        <v>34.49</v>
      </c>
      <c r="O11" s="19">
        <f t="shared" si="3"/>
        <v>9.18</v>
      </c>
      <c r="P11" s="19">
        <f t="shared" si="4"/>
        <v>1.7240292896301863E-3</v>
      </c>
      <c r="Q11" s="20">
        <f t="shared" si="5"/>
        <v>3.4480585792603727E-2</v>
      </c>
    </row>
    <row r="12" spans="1:21">
      <c r="B12" s="11"/>
      <c r="C12" s="12">
        <v>25.21</v>
      </c>
      <c r="D12" s="12">
        <v>25.310000000000002</v>
      </c>
      <c r="E12" s="69">
        <v>31.89</v>
      </c>
      <c r="F12" s="19">
        <f t="shared" si="0"/>
        <v>6.5799999999999983</v>
      </c>
      <c r="G12" s="19">
        <f t="shared" si="1"/>
        <v>1.0452559021766518E-2</v>
      </c>
      <c r="H12" s="20">
        <f t="shared" si="2"/>
        <v>0.20905118043533036</v>
      </c>
      <c r="K12" s="11"/>
      <c r="L12" s="12">
        <v>25.21</v>
      </c>
      <c r="M12" s="12">
        <v>25.310000000000002</v>
      </c>
      <c r="N12" s="12">
        <v>34.869999999999997</v>
      </c>
      <c r="O12" s="19">
        <f t="shared" si="3"/>
        <v>9.5599999999999952</v>
      </c>
      <c r="P12" s="19">
        <f t="shared" si="4"/>
        <v>1.3248089135231222E-3</v>
      </c>
      <c r="Q12" s="20">
        <f t="shared" si="5"/>
        <v>2.6496178270462443E-2</v>
      </c>
    </row>
    <row r="13" spans="1:21">
      <c r="B13" s="18" t="s">
        <v>510</v>
      </c>
      <c r="C13" s="12">
        <v>25.27</v>
      </c>
      <c r="D13" s="12">
        <f>AVERAGE(C13:C15)</f>
        <v>25.156666666666666</v>
      </c>
      <c r="E13" s="12">
        <v>29.47</v>
      </c>
      <c r="F13" s="19">
        <f t="shared" si="0"/>
        <v>4.3133333333333326</v>
      </c>
      <c r="G13" s="19">
        <f t="shared" si="1"/>
        <v>5.029876077724442E-2</v>
      </c>
      <c r="H13" s="20">
        <f t="shared" si="2"/>
        <v>1.0059752155448884</v>
      </c>
      <c r="K13" s="18" t="s">
        <v>510</v>
      </c>
      <c r="L13" s="12">
        <v>25.27</v>
      </c>
      <c r="M13" s="12">
        <f>AVERAGE(L13:L15)</f>
        <v>25.156666666666666</v>
      </c>
      <c r="N13" s="12">
        <v>34.549999999999997</v>
      </c>
      <c r="O13" s="19">
        <f t="shared" si="3"/>
        <v>9.3933333333333309</v>
      </c>
      <c r="P13" s="19">
        <f t="shared" si="4"/>
        <v>1.4870477266916765E-3</v>
      </c>
      <c r="Q13" s="20">
        <f t="shared" si="5"/>
        <v>2.9740954533833529E-2</v>
      </c>
    </row>
    <row r="14" spans="1:21">
      <c r="B14" s="11"/>
      <c r="C14" s="12">
        <v>25.2</v>
      </c>
      <c r="D14" s="12">
        <v>25.156666666666666</v>
      </c>
      <c r="E14" s="12">
        <v>30.03</v>
      </c>
      <c r="F14" s="19">
        <f t="shared" si="0"/>
        <v>4.8733333333333348</v>
      </c>
      <c r="G14" s="19">
        <f t="shared" si="1"/>
        <v>3.4117758267832456E-2</v>
      </c>
      <c r="H14" s="20">
        <f t="shared" si="2"/>
        <v>0.68235516535664908</v>
      </c>
      <c r="K14" s="11"/>
      <c r="L14" s="12">
        <v>25.2</v>
      </c>
      <c r="M14" s="12">
        <v>25.156666666666666</v>
      </c>
      <c r="N14" s="12">
        <v>34.51</v>
      </c>
      <c r="O14" s="19">
        <f t="shared" si="3"/>
        <v>9.3533333333333317</v>
      </c>
      <c r="P14" s="19">
        <f t="shared" si="4"/>
        <v>1.5288543287091828E-3</v>
      </c>
      <c r="Q14" s="20">
        <f t="shared" si="5"/>
        <v>3.0577086574183655E-2</v>
      </c>
    </row>
    <row r="15" spans="1:21">
      <c r="B15" s="11"/>
      <c r="C15" s="12">
        <v>25</v>
      </c>
      <c r="D15" s="12">
        <v>25.156666666666666</v>
      </c>
      <c r="E15" s="12">
        <v>30.04</v>
      </c>
      <c r="F15" s="19">
        <f t="shared" si="0"/>
        <v>4.8833333333333329</v>
      </c>
      <c r="G15" s="19">
        <f t="shared" si="1"/>
        <v>3.3882089696919332E-2</v>
      </c>
      <c r="H15" s="20">
        <f t="shared" si="2"/>
        <v>0.67764179393838664</v>
      </c>
      <c r="K15" s="11"/>
      <c r="L15" s="12">
        <v>25</v>
      </c>
      <c r="M15" s="12">
        <v>25.156666666666666</v>
      </c>
      <c r="N15" s="12">
        <v>34.42</v>
      </c>
      <c r="O15" s="19">
        <f t="shared" si="3"/>
        <v>9.2633333333333354</v>
      </c>
      <c r="P15" s="19">
        <f t="shared" si="4"/>
        <v>1.6272669607927971E-3</v>
      </c>
      <c r="Q15" s="20">
        <f t="shared" si="5"/>
        <v>3.2545339215855944E-2</v>
      </c>
      <c r="S15" t="s">
        <v>20</v>
      </c>
      <c r="T15" t="s">
        <v>389</v>
      </c>
      <c r="U15">
        <f>_xlfn.T.TEST(H10:H12,H7:H9,2,2)</f>
        <v>4.8187522225660922E-3</v>
      </c>
    </row>
    <row r="16" spans="1:21">
      <c r="B16" s="18" t="s">
        <v>511</v>
      </c>
      <c r="C16" s="12">
        <v>25.73</v>
      </c>
      <c r="D16" s="12">
        <f>AVERAGE(C16:C18)</f>
        <v>25.663333333333338</v>
      </c>
      <c r="E16" s="12">
        <v>32.36</v>
      </c>
      <c r="F16" s="19">
        <f t="shared" si="0"/>
        <v>6.6966666666666619</v>
      </c>
      <c r="G16" s="19">
        <f t="shared" si="1"/>
        <v>9.640564450188082E-3</v>
      </c>
      <c r="H16" s="20">
        <f t="shared" si="2"/>
        <v>0.19281128900376165</v>
      </c>
      <c r="K16" s="18" t="s">
        <v>511</v>
      </c>
      <c r="L16" s="12">
        <v>25.73</v>
      </c>
      <c r="M16" s="12">
        <f>AVERAGE(L16:L18)</f>
        <v>25.663333333333338</v>
      </c>
      <c r="N16" s="12">
        <v>35.44</v>
      </c>
      <c r="O16" s="19">
        <f t="shared" si="3"/>
        <v>9.7766666666666602</v>
      </c>
      <c r="P16" s="19">
        <f t="shared" si="4"/>
        <v>1.1400662146064233E-3</v>
      </c>
      <c r="Q16" s="20">
        <f t="shared" si="5"/>
        <v>2.2801324292128465E-2</v>
      </c>
      <c r="T16" t="s">
        <v>390</v>
      </c>
      <c r="U16">
        <f>_xlfn.T.TEST(H16:H18,H19:H21,2,2)</f>
        <v>0.44048017595068334</v>
      </c>
    </row>
    <row r="17" spans="2:17">
      <c r="B17" s="11"/>
      <c r="C17" s="12">
        <v>25.67</v>
      </c>
      <c r="D17" s="12">
        <v>25.663333333333338</v>
      </c>
      <c r="E17" s="12">
        <v>32.11</v>
      </c>
      <c r="F17" s="19">
        <f t="shared" si="0"/>
        <v>6.4466666666666619</v>
      </c>
      <c r="G17" s="19">
        <f t="shared" si="1"/>
        <v>1.1464627836805959E-2</v>
      </c>
      <c r="H17" s="20">
        <f t="shared" si="2"/>
        <v>0.2292925567361192</v>
      </c>
      <c r="K17" s="11"/>
      <c r="L17" s="12">
        <v>25.67</v>
      </c>
      <c r="M17" s="12">
        <v>25.663333333333338</v>
      </c>
      <c r="N17" s="12">
        <v>35.19</v>
      </c>
      <c r="O17" s="19">
        <f t="shared" si="3"/>
        <v>9.5266666666666602</v>
      </c>
      <c r="P17" s="19">
        <f t="shared" si="4"/>
        <v>1.3557748539841771E-3</v>
      </c>
      <c r="Q17" s="20">
        <f t="shared" si="5"/>
        <v>2.7115497079683543E-2</v>
      </c>
    </row>
    <row r="18" spans="2:17">
      <c r="B18" s="11"/>
      <c r="C18" s="12">
        <v>25.59</v>
      </c>
      <c r="D18" s="12">
        <v>25.663333333333338</v>
      </c>
      <c r="E18" s="12">
        <v>32.49</v>
      </c>
      <c r="F18" s="19">
        <f t="shared" si="0"/>
        <v>6.8266666666666644</v>
      </c>
      <c r="G18" s="19">
        <f t="shared" si="1"/>
        <v>8.8098509925453629E-3</v>
      </c>
      <c r="H18" s="20">
        <f t="shared" si="2"/>
        <v>0.17619701985090724</v>
      </c>
      <c r="K18" s="11"/>
      <c r="L18" s="12">
        <v>25.59</v>
      </c>
      <c r="M18" s="12">
        <v>25.663333333333338</v>
      </c>
      <c r="N18" s="12">
        <v>36.17</v>
      </c>
      <c r="O18" s="19">
        <f t="shared" si="3"/>
        <v>10.506666666666664</v>
      </c>
      <c r="P18" s="19">
        <f t="shared" si="4"/>
        <v>6.8735038282909794E-4</v>
      </c>
      <c r="Q18" s="20">
        <f t="shared" si="5"/>
        <v>1.3747007656581959E-2</v>
      </c>
    </row>
    <row r="19" spans="2:17">
      <c r="B19" s="18" t="s">
        <v>103</v>
      </c>
      <c r="C19" s="12">
        <v>26.01</v>
      </c>
      <c r="D19" s="12">
        <f>AVERAGE(C19:C21)</f>
        <v>25.766666666666666</v>
      </c>
      <c r="E19" s="12">
        <v>32.979999999999997</v>
      </c>
      <c r="F19" s="19">
        <f t="shared" si="0"/>
        <v>7.2133333333333312</v>
      </c>
      <c r="G19" s="19">
        <f t="shared" si="1"/>
        <v>6.738609624939002E-3</v>
      </c>
      <c r="H19" s="20">
        <f t="shared" si="2"/>
        <v>0.13477219249878003</v>
      </c>
      <c r="K19" s="18" t="s">
        <v>103</v>
      </c>
      <c r="L19" s="12">
        <v>26.01</v>
      </c>
      <c r="M19" s="12">
        <f>AVERAGE(L19:L21)</f>
        <v>25.766666666666666</v>
      </c>
      <c r="N19" s="12">
        <v>36.06</v>
      </c>
      <c r="O19" s="19">
        <f t="shared" si="3"/>
        <v>10.293333333333337</v>
      </c>
      <c r="P19" s="19">
        <f t="shared" si="4"/>
        <v>7.96889145496527E-4</v>
      </c>
      <c r="Q19" s="20">
        <f t="shared" si="5"/>
        <v>1.5937782909930538E-2</v>
      </c>
    </row>
    <row r="20" spans="2:17">
      <c r="B20" s="11"/>
      <c r="C20" s="12">
        <v>25.55</v>
      </c>
      <c r="D20" s="12">
        <v>25.766666666666666</v>
      </c>
      <c r="E20" s="12">
        <v>32.409999999999997</v>
      </c>
      <c r="F20" s="19">
        <f t="shared" si="0"/>
        <v>6.6433333333333309</v>
      </c>
      <c r="G20" s="19">
        <f t="shared" si="1"/>
        <v>1.0003624821489728E-2</v>
      </c>
      <c r="H20" s="20">
        <f t="shared" si="2"/>
        <v>0.20007249642979455</v>
      </c>
      <c r="K20" s="11"/>
      <c r="L20" s="12">
        <v>25.55</v>
      </c>
      <c r="M20" s="12">
        <v>25.766666666666666</v>
      </c>
      <c r="N20" s="12">
        <v>36.090000000000003</v>
      </c>
      <c r="O20" s="19">
        <f t="shared" si="3"/>
        <v>10.323333333333338</v>
      </c>
      <c r="P20" s="19">
        <f t="shared" si="4"/>
        <v>7.8048940402599982E-4</v>
      </c>
      <c r="Q20" s="20">
        <f t="shared" si="5"/>
        <v>1.5609788080519996E-2</v>
      </c>
    </row>
    <row r="21" spans="2:17" ht="15.75" thickBot="1">
      <c r="B21" s="21"/>
      <c r="C21" s="22">
        <v>25.74</v>
      </c>
      <c r="D21" s="22">
        <v>25.766666666666666</v>
      </c>
      <c r="E21" s="22">
        <v>32.44</v>
      </c>
      <c r="F21" s="23">
        <f t="shared" si="0"/>
        <v>6.673333333333332</v>
      </c>
      <c r="G21" s="23">
        <f t="shared" si="1"/>
        <v>9.7977531996114291E-3</v>
      </c>
      <c r="H21" s="26">
        <f t="shared" si="2"/>
        <v>0.19595506399222859</v>
      </c>
      <c r="K21" s="21"/>
      <c r="L21" s="22">
        <v>25.74</v>
      </c>
      <c r="M21" s="22">
        <v>25.766666666666666</v>
      </c>
      <c r="N21" s="22">
        <v>35.72</v>
      </c>
      <c r="O21" s="23">
        <f t="shared" si="3"/>
        <v>9.9533333333333331</v>
      </c>
      <c r="P21" s="23">
        <f t="shared" si="4"/>
        <v>1.0086676905755739E-3</v>
      </c>
      <c r="Q21" s="26">
        <f t="shared" si="5"/>
        <v>2.0173353811511478E-2</v>
      </c>
    </row>
    <row r="23" spans="2:17" ht="15.75" thickBot="1"/>
    <row r="24" spans="2:17">
      <c r="B24" s="6"/>
      <c r="C24" s="7"/>
      <c r="D24" s="7"/>
      <c r="E24" s="7"/>
      <c r="F24" s="8"/>
      <c r="G24" s="9"/>
      <c r="H24" s="10" t="s">
        <v>95</v>
      </c>
      <c r="K24" s="6"/>
      <c r="L24" s="7"/>
      <c r="M24" s="7"/>
      <c r="N24" s="7"/>
      <c r="O24" s="8"/>
      <c r="P24" s="9"/>
      <c r="Q24" s="10" t="s">
        <v>95</v>
      </c>
    </row>
    <row r="25" spans="2:17">
      <c r="B25" s="11"/>
      <c r="C25" s="24" t="s">
        <v>96</v>
      </c>
      <c r="E25" s="12"/>
      <c r="F25" s="13"/>
      <c r="G25" s="14" t="s">
        <v>97</v>
      </c>
      <c r="H25" s="15">
        <v>20</v>
      </c>
      <c r="K25" s="11"/>
      <c r="L25" s="24" t="s">
        <v>109</v>
      </c>
      <c r="N25" s="12"/>
      <c r="O25" s="13"/>
      <c r="P25" s="14" t="s">
        <v>97</v>
      </c>
      <c r="Q25" s="15">
        <v>20</v>
      </c>
    </row>
    <row r="26" spans="2:17">
      <c r="B26" s="11"/>
      <c r="C26" s="12" t="s">
        <v>99</v>
      </c>
      <c r="D26" s="12" t="s">
        <v>100</v>
      </c>
      <c r="E26" s="12" t="s">
        <v>385</v>
      </c>
      <c r="F26" s="16" t="s">
        <v>386</v>
      </c>
      <c r="G26" s="12" t="s">
        <v>385</v>
      </c>
      <c r="H26" s="17" t="s">
        <v>385</v>
      </c>
      <c r="K26" s="11"/>
      <c r="L26" s="12" t="s">
        <v>99</v>
      </c>
      <c r="M26" s="12" t="s">
        <v>100</v>
      </c>
      <c r="N26" s="12" t="s">
        <v>385</v>
      </c>
      <c r="O26" s="16" t="s">
        <v>386</v>
      </c>
      <c r="P26" s="12" t="s">
        <v>385</v>
      </c>
      <c r="Q26" s="17" t="s">
        <v>385</v>
      </c>
    </row>
    <row r="27" spans="2:17">
      <c r="B27" s="18" t="s">
        <v>101</v>
      </c>
      <c r="C27" s="12">
        <v>25.53</v>
      </c>
      <c r="D27" s="12">
        <v>25.75</v>
      </c>
      <c r="E27" s="12">
        <v>31.73</v>
      </c>
      <c r="F27" s="19">
        <f t="shared" ref="F27:F41" si="6">E27-D27</f>
        <v>5.98</v>
      </c>
      <c r="G27" s="19">
        <f t="shared" ref="G27:G41" si="7">1/(2^F27)</f>
        <v>1.5843116871719205E-2</v>
      </c>
      <c r="H27" s="20">
        <f t="shared" ref="H27:H40" si="8">G27*20</f>
        <v>0.31686233743438408</v>
      </c>
      <c r="K27" s="18" t="s">
        <v>101</v>
      </c>
      <c r="L27" s="12">
        <v>25.53</v>
      </c>
      <c r="M27" s="12">
        <v>25.75</v>
      </c>
      <c r="N27" s="12">
        <v>34.979999999999997</v>
      </c>
      <c r="O27" s="19">
        <f t="shared" ref="O27:O41" si="9">N27-M27</f>
        <v>9.2299999999999969</v>
      </c>
      <c r="P27" s="19">
        <f t="shared" ref="P27:P41" si="10">1/(2^O27)</f>
        <v>1.6653025229842937E-3</v>
      </c>
      <c r="Q27" s="20">
        <f t="shared" ref="Q27:Q41" si="11">P27*20</f>
        <v>3.3306050459685876E-2</v>
      </c>
    </row>
    <row r="28" spans="2:17">
      <c r="B28" s="11"/>
      <c r="C28" s="12">
        <v>25.83</v>
      </c>
      <c r="D28" s="12">
        <v>25.75</v>
      </c>
      <c r="E28" s="12">
        <v>32.14</v>
      </c>
      <c r="F28" s="19">
        <f t="shared" si="6"/>
        <v>6.3900000000000006</v>
      </c>
      <c r="G28" s="19">
        <f t="shared" si="7"/>
        <v>1.1923900070004366E-2</v>
      </c>
      <c r="H28" s="20">
        <f t="shared" si="8"/>
        <v>0.23847800140008732</v>
      </c>
      <c r="K28" s="11"/>
      <c r="L28" s="12">
        <v>25.83</v>
      </c>
      <c r="M28" s="12">
        <v>25.75</v>
      </c>
      <c r="N28" s="12">
        <v>35.770000000000003</v>
      </c>
      <c r="O28" s="19">
        <f t="shared" si="9"/>
        <v>10.020000000000003</v>
      </c>
      <c r="P28" s="19">
        <f t="shared" si="10"/>
        <v>9.6311787548179382E-4</v>
      </c>
      <c r="Q28" s="20">
        <f t="shared" si="11"/>
        <v>1.9262357509635876E-2</v>
      </c>
    </row>
    <row r="29" spans="2:17">
      <c r="B29" s="11"/>
      <c r="C29" s="12">
        <v>25.89</v>
      </c>
      <c r="D29" s="12">
        <v>25.75</v>
      </c>
      <c r="E29" s="69">
        <v>32.260000000000005</v>
      </c>
      <c r="F29" s="19">
        <f t="shared" si="6"/>
        <v>6.5100000000000051</v>
      </c>
      <c r="G29" s="19">
        <f t="shared" si="7"/>
        <v>1.0972225591703064E-2</v>
      </c>
      <c r="H29" s="20">
        <f t="shared" si="8"/>
        <v>0.21944451183406127</v>
      </c>
      <c r="K29" s="11"/>
      <c r="L29" s="12">
        <v>25.89</v>
      </c>
      <c r="M29" s="12">
        <v>25.75</v>
      </c>
      <c r="N29" s="12">
        <v>35.6</v>
      </c>
      <c r="O29" s="19">
        <f t="shared" si="9"/>
        <v>9.8500000000000014</v>
      </c>
      <c r="P29" s="19">
        <f t="shared" si="10"/>
        <v>1.0835639375662545E-3</v>
      </c>
      <c r="Q29" s="20">
        <f t="shared" si="11"/>
        <v>2.1671278751325091E-2</v>
      </c>
    </row>
    <row r="30" spans="2:17">
      <c r="B30" s="18" t="s">
        <v>102</v>
      </c>
      <c r="C30" s="12">
        <v>25.38</v>
      </c>
      <c r="D30" s="12">
        <v>25.566666666666666</v>
      </c>
      <c r="E30" s="69">
        <v>33.28</v>
      </c>
      <c r="F30" s="19">
        <f t="shared" si="6"/>
        <v>7.7133333333333347</v>
      </c>
      <c r="G30" s="19">
        <f t="shared" si="7"/>
        <v>4.7649165615632934E-3</v>
      </c>
      <c r="H30" s="20">
        <f t="shared" si="8"/>
        <v>9.5298331231265868E-2</v>
      </c>
      <c r="K30" s="18" t="s">
        <v>102</v>
      </c>
      <c r="L30" s="12">
        <v>25.38</v>
      </c>
      <c r="M30" s="12">
        <v>25.566666666666666</v>
      </c>
      <c r="N30" s="12">
        <v>35.89</v>
      </c>
      <c r="O30" s="19">
        <f t="shared" si="9"/>
        <v>10.323333333333334</v>
      </c>
      <c r="P30" s="19">
        <f t="shared" si="10"/>
        <v>7.8048940402600188E-4</v>
      </c>
      <c r="Q30" s="20">
        <f t="shared" si="11"/>
        <v>1.5609788080520038E-2</v>
      </c>
    </row>
    <row r="31" spans="2:17">
      <c r="B31" s="11"/>
      <c r="C31" s="12">
        <v>25.76</v>
      </c>
      <c r="D31" s="12">
        <v>25.566666666666666</v>
      </c>
      <c r="E31" s="69">
        <v>33.67</v>
      </c>
      <c r="F31" s="19">
        <f t="shared" si="6"/>
        <v>8.1033333333333353</v>
      </c>
      <c r="G31" s="19">
        <f t="shared" si="7"/>
        <v>3.6362488910073277E-3</v>
      </c>
      <c r="H31" s="20">
        <f t="shared" si="8"/>
        <v>7.2724977820146558E-2</v>
      </c>
      <c r="K31" s="11"/>
      <c r="L31" s="12">
        <v>25.76</v>
      </c>
      <c r="M31" s="12">
        <v>25.566666666666666</v>
      </c>
      <c r="N31" s="12">
        <v>35.56</v>
      </c>
      <c r="O31" s="19">
        <f t="shared" si="9"/>
        <v>9.9933333333333358</v>
      </c>
      <c r="P31" s="19">
        <f t="shared" si="10"/>
        <v>9.8108561953325437E-4</v>
      </c>
      <c r="Q31" s="20">
        <f t="shared" si="11"/>
        <v>1.9621712390665087E-2</v>
      </c>
    </row>
    <row r="32" spans="2:17">
      <c r="B32" s="11"/>
      <c r="C32" s="12">
        <v>25.56</v>
      </c>
      <c r="D32" s="12">
        <v>25.566666666666666</v>
      </c>
      <c r="E32" s="69">
        <v>32.74</v>
      </c>
      <c r="F32" s="19">
        <f t="shared" si="6"/>
        <v>7.1733333333333356</v>
      </c>
      <c r="G32" s="19">
        <f t="shared" si="7"/>
        <v>6.928057727837415E-3</v>
      </c>
      <c r="H32" s="20">
        <f t="shared" si="8"/>
        <v>0.13856115455674831</v>
      </c>
      <c r="K32" s="11"/>
      <c r="L32" s="12">
        <v>25.56</v>
      </c>
      <c r="M32" s="12">
        <v>25.566666666666666</v>
      </c>
      <c r="N32" s="12">
        <v>36.03</v>
      </c>
      <c r="O32" s="19">
        <f t="shared" si="9"/>
        <v>10.463333333333335</v>
      </c>
      <c r="P32" s="19">
        <f t="shared" si="10"/>
        <v>7.0830908467567127E-4</v>
      </c>
      <c r="Q32" s="20">
        <f t="shared" si="11"/>
        <v>1.4166181693513425E-2</v>
      </c>
    </row>
    <row r="33" spans="2:21">
      <c r="B33" s="18" t="s">
        <v>510</v>
      </c>
      <c r="C33" s="12">
        <v>25.14</v>
      </c>
      <c r="D33" s="12">
        <v>25.209999999999997</v>
      </c>
      <c r="E33" s="12">
        <v>31.13</v>
      </c>
      <c r="F33" s="19">
        <f t="shared" si="6"/>
        <v>5.9200000000000017</v>
      </c>
      <c r="G33" s="19">
        <f t="shared" si="7"/>
        <v>1.6515906883771553E-2</v>
      </c>
      <c r="H33" s="20">
        <f t="shared" si="8"/>
        <v>0.33031813767543106</v>
      </c>
      <c r="K33" s="18" t="s">
        <v>510</v>
      </c>
      <c r="L33" s="12">
        <v>25.14</v>
      </c>
      <c r="M33" s="12">
        <v>25.209999999999997</v>
      </c>
      <c r="N33" s="12">
        <v>36.26</v>
      </c>
      <c r="O33" s="19">
        <f t="shared" si="9"/>
        <v>11.05</v>
      </c>
      <c r="P33" s="19">
        <f t="shared" si="10"/>
        <v>4.7164859810783449E-4</v>
      </c>
      <c r="Q33" s="20">
        <f t="shared" si="11"/>
        <v>9.4329719621566895E-3</v>
      </c>
    </row>
    <row r="34" spans="2:21">
      <c r="B34" s="11"/>
      <c r="C34" s="12">
        <v>25.43</v>
      </c>
      <c r="D34" s="12">
        <v>25.209999999999997</v>
      </c>
      <c r="E34" s="12">
        <v>31.21</v>
      </c>
      <c r="F34" s="19">
        <f t="shared" si="6"/>
        <v>6.0000000000000036</v>
      </c>
      <c r="G34" s="19">
        <f t="shared" si="7"/>
        <v>1.5624999999999965E-2</v>
      </c>
      <c r="H34" s="20">
        <f t="shared" si="8"/>
        <v>0.31249999999999933</v>
      </c>
      <c r="K34" s="11"/>
      <c r="L34" s="12">
        <v>25.43</v>
      </c>
      <c r="M34" s="12">
        <v>25.209999999999997</v>
      </c>
      <c r="N34" s="12">
        <v>35.19</v>
      </c>
      <c r="O34" s="19">
        <f t="shared" si="9"/>
        <v>9.98</v>
      </c>
      <c r="P34" s="19">
        <f t="shared" si="10"/>
        <v>9.9019480448245007E-4</v>
      </c>
      <c r="Q34" s="20">
        <f t="shared" si="11"/>
        <v>1.9803896089649001E-2</v>
      </c>
    </row>
    <row r="35" spans="2:21">
      <c r="B35" s="11"/>
      <c r="C35" s="12">
        <v>25.06</v>
      </c>
      <c r="D35" s="12">
        <v>25.209999999999997</v>
      </c>
      <c r="E35" s="12">
        <v>31.28</v>
      </c>
      <c r="F35" s="19">
        <f t="shared" si="6"/>
        <v>6.0700000000000038</v>
      </c>
      <c r="G35" s="19">
        <f t="shared" si="7"/>
        <v>1.4884968719436486E-2</v>
      </c>
      <c r="H35" s="20">
        <f t="shared" si="8"/>
        <v>0.29769937438872973</v>
      </c>
      <c r="K35" s="11"/>
      <c r="L35" s="12">
        <v>25.06</v>
      </c>
      <c r="M35" s="12">
        <v>25.209999999999997</v>
      </c>
      <c r="N35" s="12">
        <v>36.44</v>
      </c>
      <c r="O35" s="19">
        <f t="shared" si="9"/>
        <v>11.23</v>
      </c>
      <c r="P35" s="19">
        <f t="shared" si="10"/>
        <v>4.1632563074607261E-4</v>
      </c>
      <c r="Q35" s="20">
        <f t="shared" si="11"/>
        <v>8.3265126149214518E-3</v>
      </c>
      <c r="S35" t="s">
        <v>20</v>
      </c>
      <c r="T35" t="s">
        <v>387</v>
      </c>
      <c r="U35">
        <f>_xlfn.T.TEST(H30:H32,H27:H29,2,2)</f>
        <v>1.1749948052917753E-2</v>
      </c>
    </row>
    <row r="36" spans="2:21">
      <c r="B36" s="18" t="s">
        <v>511</v>
      </c>
      <c r="C36" s="12">
        <v>25.28</v>
      </c>
      <c r="D36" s="12">
        <v>25.193333333333332</v>
      </c>
      <c r="E36" s="12">
        <v>34.01</v>
      </c>
      <c r="F36" s="19">
        <f t="shared" si="6"/>
        <v>8.8166666666666664</v>
      </c>
      <c r="G36" s="19">
        <f t="shared" si="7"/>
        <v>2.2177820880290577E-3</v>
      </c>
      <c r="H36" s="20">
        <f t="shared" si="8"/>
        <v>4.4355641760581155E-2</v>
      </c>
      <c r="K36" s="18" t="s">
        <v>511</v>
      </c>
      <c r="L36" s="12">
        <v>25.28</v>
      </c>
      <c r="M36" s="12">
        <v>25.193333333333332</v>
      </c>
      <c r="N36" s="12">
        <v>35.06</v>
      </c>
      <c r="O36" s="19">
        <f t="shared" si="9"/>
        <v>9.8666666666666707</v>
      </c>
      <c r="P36" s="19">
        <f t="shared" si="10"/>
        <v>1.0711181442330301E-3</v>
      </c>
      <c r="Q36" s="20">
        <f t="shared" si="11"/>
        <v>2.1422362884660602E-2</v>
      </c>
      <c r="T36" t="s">
        <v>388</v>
      </c>
      <c r="U36">
        <f>_xlfn.T.TEST(H36:H38,H39:H41,2,2)</f>
        <v>0.30539010891940044</v>
      </c>
    </row>
    <row r="37" spans="2:21">
      <c r="B37" s="11"/>
      <c r="C37" s="12">
        <v>25.3</v>
      </c>
      <c r="D37" s="12">
        <v>25.193333333333332</v>
      </c>
      <c r="E37" s="12">
        <v>33.020000000000003</v>
      </c>
      <c r="F37" s="19">
        <f t="shared" si="6"/>
        <v>7.8266666666666715</v>
      </c>
      <c r="G37" s="19">
        <f t="shared" si="7"/>
        <v>4.404925496272658E-3</v>
      </c>
      <c r="H37" s="20">
        <f t="shared" si="8"/>
        <v>8.8098509925453164E-2</v>
      </c>
      <c r="K37" s="11"/>
      <c r="L37" s="12">
        <v>25.3</v>
      </c>
      <c r="M37" s="12">
        <v>25.193333333333332</v>
      </c>
      <c r="N37" s="12">
        <v>36.299999999999997</v>
      </c>
      <c r="O37" s="19">
        <f t="shared" si="9"/>
        <v>11.106666666666666</v>
      </c>
      <c r="P37" s="19">
        <f t="shared" si="10"/>
        <v>4.5348213380788557E-4</v>
      </c>
      <c r="Q37" s="20">
        <f t="shared" si="11"/>
        <v>9.0696426761577107E-3</v>
      </c>
    </row>
    <row r="38" spans="2:21">
      <c r="B38" s="11"/>
      <c r="C38" s="12">
        <v>25</v>
      </c>
      <c r="D38" s="12">
        <v>25.193333333333332</v>
      </c>
      <c r="E38" s="12">
        <v>33.630000000000003</v>
      </c>
      <c r="F38" s="19">
        <f t="shared" si="6"/>
        <v>8.436666666666671</v>
      </c>
      <c r="G38" s="19">
        <f t="shared" si="7"/>
        <v>2.8860926574016104E-3</v>
      </c>
      <c r="H38" s="20">
        <f t="shared" si="8"/>
        <v>5.7721853148032208E-2</v>
      </c>
      <c r="K38" s="11"/>
      <c r="L38" s="12">
        <v>25</v>
      </c>
      <c r="M38" s="12">
        <v>25.1933333333333</v>
      </c>
      <c r="N38" s="12">
        <v>35.28</v>
      </c>
      <c r="O38" s="19">
        <f t="shared" si="9"/>
        <v>10.086666666666702</v>
      </c>
      <c r="P38" s="19">
        <f t="shared" si="10"/>
        <v>9.1962501697980892E-4</v>
      </c>
      <c r="Q38" s="20">
        <f t="shared" si="11"/>
        <v>1.8392500339596177E-2</v>
      </c>
    </row>
    <row r="39" spans="2:21">
      <c r="B39" s="18" t="s">
        <v>103</v>
      </c>
      <c r="C39" s="12">
        <v>25.69</v>
      </c>
      <c r="D39" s="12">
        <v>25.563333333333301</v>
      </c>
      <c r="E39" s="12">
        <v>33.549999999999997</v>
      </c>
      <c r="F39" s="19">
        <f t="shared" si="6"/>
        <v>7.9866666666666966</v>
      </c>
      <c r="G39" s="19">
        <f t="shared" si="7"/>
        <v>3.942518754733804E-3</v>
      </c>
      <c r="H39" s="20">
        <f t="shared" si="8"/>
        <v>7.8850375094676073E-2</v>
      </c>
      <c r="K39" s="18" t="s">
        <v>103</v>
      </c>
      <c r="L39" s="12">
        <v>25.69</v>
      </c>
      <c r="M39" s="12">
        <v>25.563333333333333</v>
      </c>
      <c r="N39" s="12">
        <v>36.880000000000003</v>
      </c>
      <c r="O39" s="19">
        <f t="shared" si="9"/>
        <v>11.31666666666667</v>
      </c>
      <c r="P39" s="19">
        <f t="shared" si="10"/>
        <v>3.9205218840985108E-4</v>
      </c>
      <c r="Q39" s="20">
        <f t="shared" si="11"/>
        <v>7.8410437681970223E-3</v>
      </c>
    </row>
    <row r="40" spans="2:21">
      <c r="B40" s="11"/>
      <c r="C40" s="12">
        <v>25.56</v>
      </c>
      <c r="D40" s="12">
        <v>25.563333333333333</v>
      </c>
      <c r="E40" s="12">
        <v>33.46</v>
      </c>
      <c r="F40" s="19">
        <f t="shared" si="6"/>
        <v>7.8966666666666683</v>
      </c>
      <c r="G40" s="19">
        <f t="shared" si="7"/>
        <v>4.1962994063018929E-3</v>
      </c>
      <c r="H40" s="20">
        <f t="shared" si="8"/>
        <v>8.3925988126037854E-2</v>
      </c>
      <c r="K40" s="11"/>
      <c r="L40" s="12">
        <v>25.56</v>
      </c>
      <c r="M40" s="12">
        <v>25.563333333333333</v>
      </c>
      <c r="N40" s="12">
        <v>35.24</v>
      </c>
      <c r="O40" s="19">
        <f t="shared" si="9"/>
        <v>9.6766666666666694</v>
      </c>
      <c r="P40" s="19">
        <f t="shared" si="10"/>
        <v>1.2218927143493633E-3</v>
      </c>
      <c r="Q40" s="20">
        <f t="shared" si="11"/>
        <v>2.4437854286987266E-2</v>
      </c>
    </row>
    <row r="41" spans="2:21" ht="15.75" thickBot="1">
      <c r="B41" s="21"/>
      <c r="C41" s="22">
        <v>25.44</v>
      </c>
      <c r="D41" s="22">
        <v>25.563333333333333</v>
      </c>
      <c r="E41" s="22">
        <v>33.64</v>
      </c>
      <c r="F41" s="23">
        <f t="shared" si="6"/>
        <v>8.076666666666668</v>
      </c>
      <c r="G41" s="23">
        <f t="shared" si="7"/>
        <v>3.7040860592753794E-3</v>
      </c>
      <c r="H41" s="26">
        <f>G41*20</f>
        <v>7.4081721185507585E-2</v>
      </c>
      <c r="K41" s="21"/>
      <c r="L41" s="22">
        <v>25.44</v>
      </c>
      <c r="M41" s="22">
        <v>25.563333333333333</v>
      </c>
      <c r="N41" s="22">
        <v>35.86</v>
      </c>
      <c r="O41" s="23">
        <f t="shared" si="9"/>
        <v>10.296666666666667</v>
      </c>
      <c r="P41" s="23">
        <f t="shared" si="10"/>
        <v>7.950500660211915E-4</v>
      </c>
      <c r="Q41" s="26">
        <f t="shared" si="11"/>
        <v>1.5901001320423831E-2</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topLeftCell="A3" zoomScale="85" zoomScaleNormal="85" workbookViewId="0">
      <selection activeCell="A3" sqref="A3"/>
    </sheetView>
  </sheetViews>
  <sheetFormatPr defaultRowHeight="15"/>
  <cols>
    <col min="1" max="1" width="19.140625" customWidth="1"/>
    <col min="2" max="2" width="12.140625" customWidth="1"/>
    <col min="3" max="3" width="11.28515625" customWidth="1"/>
    <col min="4" max="4" width="13.140625" customWidth="1"/>
    <col min="7" max="7" width="16.7109375" customWidth="1"/>
    <col min="8" max="8" width="10.5703125" customWidth="1"/>
    <col min="9" max="9" width="17.5703125" customWidth="1"/>
    <col min="10" max="10" width="9.140625" customWidth="1"/>
    <col min="12" max="12" width="10.42578125" customWidth="1"/>
    <col min="13" max="13" width="11.140625" customWidth="1"/>
    <col min="14" max="14" width="15.42578125" customWidth="1"/>
    <col min="15" max="15" width="10.5703125" customWidth="1"/>
    <col min="16" max="16" width="11.85546875" customWidth="1"/>
    <col min="17" max="17" width="13" customWidth="1"/>
    <col min="18" max="18" width="36.140625" customWidth="1"/>
    <col min="19" max="19" width="21.7109375" customWidth="1"/>
  </cols>
  <sheetData>
    <row r="1" spans="1:19" ht="15.75" thickBot="1"/>
    <row r="2" spans="1:19">
      <c r="A2" s="6"/>
      <c r="B2" s="7"/>
      <c r="C2" s="7"/>
      <c r="D2" s="7"/>
      <c r="E2" s="8"/>
      <c r="F2" s="9"/>
      <c r="G2" s="10" t="s">
        <v>95</v>
      </c>
      <c r="I2" s="6"/>
      <c r="J2" s="7"/>
      <c r="K2" s="7"/>
      <c r="L2" s="7"/>
      <c r="M2" s="8"/>
      <c r="N2" s="9"/>
      <c r="O2" s="10" t="s">
        <v>95</v>
      </c>
    </row>
    <row r="3" spans="1:19" ht="15.75">
      <c r="A3" s="77" t="s">
        <v>534</v>
      </c>
      <c r="B3" s="12"/>
      <c r="C3" s="12"/>
      <c r="D3" s="12"/>
      <c r="E3" s="13"/>
      <c r="F3" s="73"/>
      <c r="G3" s="15"/>
      <c r="I3" s="11"/>
      <c r="J3" s="12"/>
      <c r="K3" s="12"/>
      <c r="L3" s="12"/>
      <c r="M3" s="13"/>
      <c r="N3" s="73"/>
      <c r="O3" s="15"/>
    </row>
    <row r="4" spans="1:19">
      <c r="A4" s="11"/>
      <c r="B4" s="12"/>
      <c r="C4" s="12"/>
      <c r="D4" s="12"/>
      <c r="E4" s="13"/>
      <c r="F4" s="73"/>
      <c r="G4" s="15"/>
      <c r="I4" s="11"/>
      <c r="J4" s="12"/>
      <c r="K4" s="12"/>
      <c r="L4" s="12"/>
      <c r="M4" s="13"/>
      <c r="N4" s="73"/>
      <c r="O4" s="15"/>
    </row>
    <row r="5" spans="1:19">
      <c r="A5" s="11"/>
      <c r="B5" s="12" t="s">
        <v>513</v>
      </c>
      <c r="C5" s="12"/>
      <c r="D5" s="12"/>
      <c r="E5" s="13"/>
      <c r="F5" s="14" t="s">
        <v>97</v>
      </c>
      <c r="G5" s="15">
        <v>20</v>
      </c>
      <c r="I5" s="11"/>
      <c r="J5" s="12"/>
      <c r="K5" s="12" t="s">
        <v>109</v>
      </c>
      <c r="L5" s="12"/>
      <c r="M5" s="13"/>
      <c r="N5" s="14" t="s">
        <v>97</v>
      </c>
      <c r="O5" s="15">
        <v>20</v>
      </c>
    </row>
    <row r="6" spans="1:19">
      <c r="A6" s="11"/>
      <c r="B6" s="12" t="s">
        <v>99</v>
      </c>
      <c r="C6" s="12" t="s">
        <v>100</v>
      </c>
      <c r="D6" s="12" t="s">
        <v>383</v>
      </c>
      <c r="E6" s="16" t="s">
        <v>384</v>
      </c>
      <c r="F6" s="12" t="s">
        <v>383</v>
      </c>
      <c r="G6" s="17" t="s">
        <v>383</v>
      </c>
      <c r="I6" s="11"/>
      <c r="J6" s="12" t="s">
        <v>99</v>
      </c>
      <c r="K6" s="12" t="s">
        <v>100</v>
      </c>
      <c r="L6" s="12" t="s">
        <v>383</v>
      </c>
      <c r="M6" s="16" t="s">
        <v>384</v>
      </c>
      <c r="N6" s="12" t="s">
        <v>383</v>
      </c>
      <c r="O6" s="17" t="s">
        <v>383</v>
      </c>
    </row>
    <row r="7" spans="1:19">
      <c r="A7" s="18" t="s">
        <v>101</v>
      </c>
      <c r="B7" s="12">
        <v>24.23</v>
      </c>
      <c r="C7" s="12">
        <v>24.79</v>
      </c>
      <c r="D7" s="24">
        <v>26.85</v>
      </c>
      <c r="E7" s="19">
        <f>D7-C7</f>
        <v>2.0600000000000023</v>
      </c>
      <c r="F7" s="19">
        <f>1/(2^E7)</f>
        <v>0.23981602983131572</v>
      </c>
      <c r="G7" s="20">
        <f>F7*20</f>
        <v>4.7963205966263143</v>
      </c>
      <c r="I7" s="18" t="s">
        <v>101</v>
      </c>
      <c r="J7" s="12">
        <v>23.73</v>
      </c>
      <c r="K7" s="12">
        <v>23.79</v>
      </c>
      <c r="L7" s="27">
        <v>29.58</v>
      </c>
      <c r="M7" s="19">
        <f>L7-K7</f>
        <v>5.7899999999999991</v>
      </c>
      <c r="N7" s="19">
        <f>1/(2^M7)</f>
        <v>1.8073252873520129E-2</v>
      </c>
      <c r="O7" s="20">
        <f>N7*20</f>
        <v>0.36146505747040258</v>
      </c>
      <c r="P7" s="28"/>
    </row>
    <row r="8" spans="1:19">
      <c r="A8" s="11"/>
      <c r="B8" s="12">
        <v>24.22</v>
      </c>
      <c r="C8" s="12">
        <v>24.79</v>
      </c>
      <c r="D8" s="24">
        <v>27.47</v>
      </c>
      <c r="E8" s="19">
        <f t="shared" ref="E8:E18" si="0">D8-C8</f>
        <v>2.6799999999999997</v>
      </c>
      <c r="F8" s="19">
        <f t="shared" ref="F8:F21" si="1">1/(2^E8)</f>
        <v>0.15604131861270151</v>
      </c>
      <c r="G8" s="20">
        <f t="shared" ref="G8:G20" si="2">F8*20</f>
        <v>3.1208263722540304</v>
      </c>
      <c r="I8" s="11"/>
      <c r="J8" s="12">
        <v>23.72</v>
      </c>
      <c r="K8" s="12">
        <v>23.79</v>
      </c>
      <c r="L8" s="27">
        <v>29.57</v>
      </c>
      <c r="M8" s="19">
        <f t="shared" ref="M8:M21" si="3">L8-K8</f>
        <v>5.7800000000000011</v>
      </c>
      <c r="N8" s="19">
        <f t="shared" ref="N8:N21" si="4">1/(2^M8)</f>
        <v>1.8198962288569608E-2</v>
      </c>
      <c r="O8" s="20">
        <f t="shared" ref="O8:O20" si="5">N8*20</f>
        <v>0.36397924577139218</v>
      </c>
      <c r="P8" s="28"/>
    </row>
    <row r="9" spans="1:19">
      <c r="A9" s="11"/>
      <c r="B9" s="12">
        <v>24.43</v>
      </c>
      <c r="C9" s="12">
        <v>24.79</v>
      </c>
      <c r="D9" s="24">
        <v>27.01</v>
      </c>
      <c r="E9" s="19">
        <f t="shared" si="0"/>
        <v>2.2200000000000024</v>
      </c>
      <c r="F9" s="19">
        <f t="shared" si="1"/>
        <v>0.21464135910943807</v>
      </c>
      <c r="G9" s="20">
        <f t="shared" si="2"/>
        <v>4.2928271821887618</v>
      </c>
      <c r="I9" s="11"/>
      <c r="J9" s="12">
        <v>23.93</v>
      </c>
      <c r="K9" s="12">
        <v>23.79</v>
      </c>
      <c r="L9" s="27">
        <v>30.39</v>
      </c>
      <c r="M9" s="19">
        <f t="shared" si="3"/>
        <v>6.6000000000000014</v>
      </c>
      <c r="N9" s="19">
        <f t="shared" si="4"/>
        <v>1.0308655552913231E-2</v>
      </c>
      <c r="O9" s="20">
        <f t="shared" si="5"/>
        <v>0.20617311105826461</v>
      </c>
      <c r="P9" s="28"/>
    </row>
    <row r="10" spans="1:19">
      <c r="A10" s="18" t="s">
        <v>102</v>
      </c>
      <c r="B10" s="12">
        <v>24.6</v>
      </c>
      <c r="C10" s="12">
        <v>25.26</v>
      </c>
      <c r="D10" s="24">
        <v>27.47</v>
      </c>
      <c r="E10" s="19">
        <f t="shared" si="0"/>
        <v>2.2099999999999973</v>
      </c>
      <c r="F10" s="19">
        <f t="shared" si="1"/>
        <v>0.21613430782696672</v>
      </c>
      <c r="G10" s="20">
        <f t="shared" si="2"/>
        <v>4.3226861565393344</v>
      </c>
      <c r="I10" s="18" t="s">
        <v>102</v>
      </c>
      <c r="J10" s="12">
        <v>24.1</v>
      </c>
      <c r="K10" s="12">
        <v>24.26</v>
      </c>
      <c r="L10" s="27">
        <v>30.68</v>
      </c>
      <c r="M10" s="19">
        <f t="shared" si="3"/>
        <v>6.4199999999999982</v>
      </c>
      <c r="N10" s="19">
        <f t="shared" si="4"/>
        <v>1.1678509754960474E-2</v>
      </c>
      <c r="O10" s="20">
        <f t="shared" si="5"/>
        <v>0.23357019509920948</v>
      </c>
      <c r="P10" s="28"/>
    </row>
    <row r="11" spans="1:19">
      <c r="A11" s="11"/>
      <c r="B11" s="12">
        <v>24.88</v>
      </c>
      <c r="C11" s="12">
        <v>25.26</v>
      </c>
      <c r="D11" s="24">
        <v>27.15</v>
      </c>
      <c r="E11" s="19">
        <f t="shared" si="0"/>
        <v>1.889999999999997</v>
      </c>
      <c r="F11" s="19">
        <f t="shared" si="1"/>
        <v>0.26980705912610736</v>
      </c>
      <c r="G11" s="20">
        <f t="shared" si="2"/>
        <v>5.3961411825221468</v>
      </c>
      <c r="I11" s="11"/>
      <c r="J11" s="12">
        <v>24.38</v>
      </c>
      <c r="K11" s="12">
        <v>24.26</v>
      </c>
      <c r="L11" s="27">
        <v>31.15</v>
      </c>
      <c r="M11" s="19">
        <f t="shared" si="3"/>
        <v>6.889999999999997</v>
      </c>
      <c r="N11" s="19">
        <f t="shared" si="4"/>
        <v>8.4314705976908568E-3</v>
      </c>
      <c r="O11" s="20">
        <f t="shared" si="5"/>
        <v>0.16862941195381714</v>
      </c>
      <c r="P11" s="28"/>
    </row>
    <row r="12" spans="1:19">
      <c r="A12" s="11"/>
      <c r="B12" s="12">
        <v>24.8</v>
      </c>
      <c r="C12" s="12">
        <v>25.26</v>
      </c>
      <c r="D12" s="24">
        <v>27.39</v>
      </c>
      <c r="E12" s="19">
        <f t="shared" si="0"/>
        <v>2.129999999999999</v>
      </c>
      <c r="F12" s="19">
        <f t="shared" si="1"/>
        <v>0.22845786255735029</v>
      </c>
      <c r="G12" s="20">
        <f t="shared" si="2"/>
        <v>4.569157251147006</v>
      </c>
      <c r="I12" s="11"/>
      <c r="J12" s="12">
        <v>24.3</v>
      </c>
      <c r="K12" s="12">
        <v>24.26</v>
      </c>
      <c r="L12" s="27">
        <v>30.97</v>
      </c>
      <c r="M12" s="19">
        <f t="shared" si="3"/>
        <v>6.7099999999999973</v>
      </c>
      <c r="N12" s="19">
        <f t="shared" si="4"/>
        <v>9.5518771694693035E-3</v>
      </c>
      <c r="O12" s="20">
        <f t="shared" si="5"/>
        <v>0.19103754338938606</v>
      </c>
      <c r="P12" s="28"/>
    </row>
    <row r="13" spans="1:19">
      <c r="A13" s="18" t="s">
        <v>510</v>
      </c>
      <c r="B13" s="12">
        <v>24.73</v>
      </c>
      <c r="C13" s="12">
        <v>25.13</v>
      </c>
      <c r="D13" s="24">
        <v>29.09</v>
      </c>
      <c r="E13" s="19">
        <f t="shared" si="0"/>
        <v>3.9600000000000009</v>
      </c>
      <c r="F13" s="19">
        <f t="shared" si="1"/>
        <v>6.4257114166004117E-2</v>
      </c>
      <c r="G13" s="20">
        <f t="shared" si="2"/>
        <v>1.2851422833200823</v>
      </c>
      <c r="I13" s="18" t="s">
        <v>510</v>
      </c>
      <c r="J13" s="12">
        <v>24.23</v>
      </c>
      <c r="K13" s="12">
        <v>24.13</v>
      </c>
      <c r="L13" s="27">
        <v>31.009999999999998</v>
      </c>
      <c r="M13" s="19">
        <f t="shared" si="3"/>
        <v>6.879999999999999</v>
      </c>
      <c r="N13" s="19">
        <f t="shared" si="4"/>
        <v>8.4901161134848368E-3</v>
      </c>
      <c r="O13" s="20">
        <f t="shared" si="5"/>
        <v>0.16980232226969674</v>
      </c>
      <c r="P13" s="28"/>
    </row>
    <row r="14" spans="1:19">
      <c r="A14" s="11"/>
      <c r="B14" s="12">
        <v>24.63</v>
      </c>
      <c r="C14" s="12">
        <v>25.13</v>
      </c>
      <c r="D14" s="24">
        <v>29.23</v>
      </c>
      <c r="E14" s="19">
        <f t="shared" si="0"/>
        <v>4.1000000000000014</v>
      </c>
      <c r="F14" s="19">
        <f t="shared" si="1"/>
        <v>5.8314561971050415E-2</v>
      </c>
      <c r="G14" s="20">
        <f t="shared" si="2"/>
        <v>1.1662912394210083</v>
      </c>
      <c r="I14" s="11"/>
      <c r="J14" s="12">
        <v>24.13</v>
      </c>
      <c r="K14" s="12">
        <v>24.13</v>
      </c>
      <c r="L14" s="27">
        <v>29.61</v>
      </c>
      <c r="M14" s="19">
        <f t="shared" si="3"/>
        <v>5.48</v>
      </c>
      <c r="N14" s="19">
        <f t="shared" si="4"/>
        <v>2.2405550750247305E-2</v>
      </c>
      <c r="O14" s="20">
        <f t="shared" si="5"/>
        <v>0.4481110150049461</v>
      </c>
      <c r="P14" s="28"/>
      <c r="Q14" t="s">
        <v>20</v>
      </c>
      <c r="R14" t="s">
        <v>389</v>
      </c>
      <c r="S14">
        <f>_xlfn.T.TEST(G7:G9,G10:G12,2,2)</f>
        <v>0.30770253635326295</v>
      </c>
    </row>
    <row r="15" spans="1:19">
      <c r="A15" s="11"/>
      <c r="B15" s="12">
        <v>24.52</v>
      </c>
      <c r="C15" s="12">
        <v>25.13</v>
      </c>
      <c r="D15" s="24">
        <v>28.69</v>
      </c>
      <c r="E15" s="19">
        <f t="shared" si="0"/>
        <v>3.5600000000000023</v>
      </c>
      <c r="F15" s="19">
        <f t="shared" si="1"/>
        <v>8.4787770465479362E-2</v>
      </c>
      <c r="G15" s="20">
        <f t="shared" si="2"/>
        <v>1.6957554093095872</v>
      </c>
      <c r="I15" s="11"/>
      <c r="J15" s="12">
        <v>24.02</v>
      </c>
      <c r="K15" s="12">
        <v>24.13</v>
      </c>
      <c r="L15" s="27">
        <v>30.45</v>
      </c>
      <c r="M15" s="19">
        <f t="shared" si="3"/>
        <v>6.32</v>
      </c>
      <c r="N15" s="19">
        <f t="shared" si="4"/>
        <v>1.2516716837337844E-2</v>
      </c>
      <c r="O15" s="20">
        <f t="shared" si="5"/>
        <v>0.25033433674675687</v>
      </c>
      <c r="P15" s="28"/>
      <c r="R15" t="s">
        <v>392</v>
      </c>
      <c r="S15">
        <f>_xlfn.T.TEST(G7:G9,G13:G15,2,2)</f>
        <v>6.732931424681698E-3</v>
      </c>
    </row>
    <row r="16" spans="1:19">
      <c r="A16" s="18" t="s">
        <v>511</v>
      </c>
      <c r="B16" s="12">
        <v>25.02</v>
      </c>
      <c r="C16" s="12">
        <v>25.51</v>
      </c>
      <c r="D16" s="24">
        <v>29.09</v>
      </c>
      <c r="E16" s="19">
        <f t="shared" si="0"/>
        <v>3.5799999999999983</v>
      </c>
      <c r="F16" s="19">
        <f t="shared" si="1"/>
        <v>8.3620472174132099E-2</v>
      </c>
      <c r="G16" s="20">
        <f t="shared" si="2"/>
        <v>1.672409443482642</v>
      </c>
      <c r="I16" s="18" t="s">
        <v>511</v>
      </c>
      <c r="J16" s="12">
        <v>24.52</v>
      </c>
      <c r="K16" s="12">
        <v>24.51</v>
      </c>
      <c r="L16" s="27">
        <v>31.189999999999998</v>
      </c>
      <c r="M16" s="19">
        <f t="shared" si="3"/>
        <v>6.6799999999999962</v>
      </c>
      <c r="N16" s="19">
        <f t="shared" si="4"/>
        <v>9.7525824132938688E-3</v>
      </c>
      <c r="O16" s="20">
        <f t="shared" si="5"/>
        <v>0.19505164826587737</v>
      </c>
      <c r="P16" s="28"/>
      <c r="R16" t="s">
        <v>390</v>
      </c>
      <c r="S16">
        <f>_xlfn.T.TEST(G16:G18,G19:G21,2,2)</f>
        <v>9.7086086543453649E-3</v>
      </c>
    </row>
    <row r="17" spans="1:16">
      <c r="A17" s="11"/>
      <c r="B17" s="12">
        <v>24.83</v>
      </c>
      <c r="C17" s="12">
        <v>25.51</v>
      </c>
      <c r="D17" s="24">
        <v>29.26</v>
      </c>
      <c r="E17" s="19">
        <f t="shared" si="0"/>
        <v>3.75</v>
      </c>
      <c r="F17" s="19">
        <f t="shared" si="1"/>
        <v>7.4325444687670064E-2</v>
      </c>
      <c r="G17" s="20">
        <f t="shared" si="2"/>
        <v>1.4865088937534012</v>
      </c>
      <c r="I17" s="11"/>
      <c r="J17" s="12">
        <v>24.33</v>
      </c>
      <c r="K17" s="12">
        <v>24.51</v>
      </c>
      <c r="L17" s="27">
        <v>31.840000000000003</v>
      </c>
      <c r="M17" s="19">
        <f t="shared" si="3"/>
        <v>7.3300000000000018</v>
      </c>
      <c r="N17" s="19">
        <f t="shared" si="4"/>
        <v>6.2151287793352928E-3</v>
      </c>
      <c r="O17" s="20">
        <f t="shared" si="5"/>
        <v>0.12430257558670585</v>
      </c>
      <c r="P17" s="28"/>
    </row>
    <row r="18" spans="1:16">
      <c r="A18" s="11"/>
      <c r="B18" s="12">
        <v>25.19</v>
      </c>
      <c r="C18" s="12">
        <v>25.51</v>
      </c>
      <c r="D18" s="24">
        <v>29.79</v>
      </c>
      <c r="E18" s="19">
        <f t="shared" si="0"/>
        <v>4.2799999999999976</v>
      </c>
      <c r="F18" s="19">
        <f t="shared" si="1"/>
        <v>5.1474438579223417E-2</v>
      </c>
      <c r="G18" s="20">
        <f t="shared" si="2"/>
        <v>1.0294887715844683</v>
      </c>
      <c r="I18" s="11"/>
      <c r="J18" s="12">
        <v>24.69</v>
      </c>
      <c r="K18" s="12">
        <v>24.51</v>
      </c>
      <c r="L18" s="27">
        <v>31.560000000000002</v>
      </c>
      <c r="M18" s="19">
        <f t="shared" si="3"/>
        <v>7.0500000000000007</v>
      </c>
      <c r="N18" s="19">
        <f t="shared" si="4"/>
        <v>7.5463775697253554E-3</v>
      </c>
      <c r="O18" s="20">
        <f t="shared" si="5"/>
        <v>0.15092755139450711</v>
      </c>
      <c r="P18" s="28"/>
    </row>
    <row r="19" spans="1:16">
      <c r="A19" s="18" t="s">
        <v>103</v>
      </c>
      <c r="B19" s="12">
        <v>24.59</v>
      </c>
      <c r="C19" s="12">
        <v>25.04</v>
      </c>
      <c r="D19" s="24">
        <v>30.666</v>
      </c>
      <c r="E19" s="19">
        <f>D19-C19</f>
        <v>5.6260000000000012</v>
      </c>
      <c r="F19" s="19">
        <f t="shared" si="1"/>
        <v>2.0249077584895823E-2</v>
      </c>
      <c r="G19" s="20">
        <f t="shared" si="2"/>
        <v>0.4049815516979165</v>
      </c>
      <c r="I19" s="18" t="s">
        <v>103</v>
      </c>
      <c r="J19" s="12">
        <v>24.39</v>
      </c>
      <c r="K19" s="12">
        <v>24.41</v>
      </c>
      <c r="L19" s="27">
        <v>31.72</v>
      </c>
      <c r="M19" s="19">
        <f t="shared" si="3"/>
        <v>7.3099999999999987</v>
      </c>
      <c r="N19" s="19">
        <f t="shared" si="4"/>
        <v>6.3018887439228672E-3</v>
      </c>
      <c r="O19" s="20">
        <f t="shared" si="5"/>
        <v>0.12603777487845735</v>
      </c>
      <c r="P19" s="28"/>
    </row>
    <row r="20" spans="1:16">
      <c r="A20" s="11"/>
      <c r="B20" s="12">
        <v>24.65</v>
      </c>
      <c r="C20" s="12">
        <v>25.04</v>
      </c>
      <c r="D20" s="24">
        <v>30.321999999999999</v>
      </c>
      <c r="E20" s="19">
        <f t="shared" ref="E20:E21" si="6">D20-C20</f>
        <v>5.282</v>
      </c>
      <c r="F20" s="19">
        <f t="shared" si="1"/>
        <v>2.5701564647264509E-2</v>
      </c>
      <c r="G20" s="20">
        <f t="shared" si="2"/>
        <v>0.51403129294529015</v>
      </c>
      <c r="I20" s="11"/>
      <c r="J20" s="12">
        <v>24.45</v>
      </c>
      <c r="K20" s="12">
        <v>24.41</v>
      </c>
      <c r="L20" s="27">
        <v>31.47</v>
      </c>
      <c r="M20" s="19">
        <f t="shared" si="3"/>
        <v>7.0599999999999987</v>
      </c>
      <c r="N20" s="19">
        <f t="shared" si="4"/>
        <v>7.4942509322286372E-3</v>
      </c>
      <c r="O20" s="20">
        <f t="shared" si="5"/>
        <v>0.14988501864457274</v>
      </c>
      <c r="P20" s="28"/>
    </row>
    <row r="21" spans="1:16" ht="15.75" thickBot="1">
      <c r="A21" s="21"/>
      <c r="B21" s="22">
        <v>24.39</v>
      </c>
      <c r="C21" s="22">
        <v>25.04</v>
      </c>
      <c r="D21" s="25">
        <v>30.24</v>
      </c>
      <c r="E21" s="23">
        <f t="shared" si="6"/>
        <v>5.1999999999999993</v>
      </c>
      <c r="F21" s="23">
        <f t="shared" si="1"/>
        <v>2.7204705103003893E-2</v>
      </c>
      <c r="G21" s="26">
        <f>F21*20</f>
        <v>0.5440941020600778</v>
      </c>
      <c r="I21" s="21"/>
      <c r="J21" s="22">
        <v>24.39</v>
      </c>
      <c r="K21" s="22">
        <v>24.41</v>
      </c>
      <c r="L21" s="29">
        <v>31.060000000000002</v>
      </c>
      <c r="M21" s="23">
        <f t="shared" si="3"/>
        <v>6.6500000000000021</v>
      </c>
      <c r="N21" s="23">
        <f t="shared" si="4"/>
        <v>9.9575049009317258E-3</v>
      </c>
      <c r="O21" s="26">
        <f>N21*20</f>
        <v>0.19915009801863451</v>
      </c>
      <c r="P21" s="28"/>
    </row>
    <row r="22" spans="1:16">
      <c r="P22" s="28"/>
    </row>
    <row r="23" spans="1:16" ht="15.75" thickBot="1">
      <c r="I23" s="12"/>
      <c r="J23" s="12"/>
      <c r="K23" s="12"/>
      <c r="L23" s="12"/>
      <c r="M23" s="12"/>
      <c r="N23" s="12"/>
      <c r="O23" s="12"/>
      <c r="P23" s="28"/>
    </row>
    <row r="24" spans="1:16">
      <c r="A24" s="6"/>
      <c r="B24" s="7"/>
      <c r="C24" s="7"/>
      <c r="D24" s="7"/>
      <c r="E24" s="8"/>
      <c r="F24" s="9"/>
      <c r="G24" s="10" t="s">
        <v>95</v>
      </c>
      <c r="I24" s="6"/>
      <c r="J24" s="7"/>
      <c r="K24" s="7"/>
      <c r="L24" s="7"/>
      <c r="M24" s="8"/>
      <c r="N24" s="9"/>
      <c r="O24" s="10" t="s">
        <v>95</v>
      </c>
      <c r="P24" s="28"/>
    </row>
    <row r="25" spans="1:16">
      <c r="A25" s="11"/>
      <c r="B25" s="12"/>
      <c r="C25" s="12" t="s">
        <v>513</v>
      </c>
      <c r="D25" s="12"/>
      <c r="E25" s="13"/>
      <c r="F25" s="14" t="s">
        <v>97</v>
      </c>
      <c r="G25" s="15">
        <v>20</v>
      </c>
      <c r="I25" s="11"/>
      <c r="J25" s="12"/>
      <c r="K25" s="12" t="s">
        <v>109</v>
      </c>
      <c r="L25" s="12"/>
      <c r="M25" s="13"/>
      <c r="N25" s="14" t="s">
        <v>97</v>
      </c>
      <c r="O25" s="15">
        <v>20</v>
      </c>
      <c r="P25" s="28"/>
    </row>
    <row r="26" spans="1:16">
      <c r="A26" s="11"/>
      <c r="B26" s="12" t="s">
        <v>99</v>
      </c>
      <c r="C26" s="12" t="s">
        <v>100</v>
      </c>
      <c r="D26" s="12" t="s">
        <v>385</v>
      </c>
      <c r="E26" s="16" t="s">
        <v>386</v>
      </c>
      <c r="F26" s="12" t="s">
        <v>385</v>
      </c>
      <c r="G26" s="17" t="s">
        <v>385</v>
      </c>
      <c r="I26" s="11"/>
      <c r="J26" s="12" t="s">
        <v>99</v>
      </c>
      <c r="K26" s="12" t="s">
        <v>100</v>
      </c>
      <c r="L26" s="12" t="s">
        <v>385</v>
      </c>
      <c r="M26" s="16" t="s">
        <v>386</v>
      </c>
      <c r="N26" s="12" t="s">
        <v>385</v>
      </c>
      <c r="O26" s="17" t="s">
        <v>385</v>
      </c>
      <c r="P26" s="28"/>
    </row>
    <row r="27" spans="1:16">
      <c r="A27" s="18" t="s">
        <v>101</v>
      </c>
      <c r="B27" s="12">
        <v>25.02</v>
      </c>
      <c r="C27" s="12">
        <v>25.49</v>
      </c>
      <c r="D27" s="27">
        <v>29.71</v>
      </c>
      <c r="E27" s="19">
        <f t="shared" ref="E27:E41" si="7">D27-C27</f>
        <v>4.2200000000000024</v>
      </c>
      <c r="F27" s="19">
        <f>1/(2^E27)</f>
        <v>5.3660339777359518E-2</v>
      </c>
      <c r="G27" s="20">
        <f>F27*20</f>
        <v>1.0732067955471905</v>
      </c>
      <c r="I27" s="18" t="s">
        <v>101</v>
      </c>
      <c r="J27" s="12">
        <v>24.52</v>
      </c>
      <c r="K27" s="12">
        <v>24.49</v>
      </c>
      <c r="L27" s="27">
        <v>32.480000000000004</v>
      </c>
      <c r="M27" s="19">
        <f t="shared" ref="M27:M41" si="8">L27-K27</f>
        <v>7.9900000000000055</v>
      </c>
      <c r="N27" s="19">
        <f>1/(2^M27)</f>
        <v>3.9334201174090425E-3</v>
      </c>
      <c r="O27" s="20">
        <f>N27*20</f>
        <v>7.8668402348180844E-2</v>
      </c>
      <c r="P27" s="28"/>
    </row>
    <row r="28" spans="1:16">
      <c r="A28" s="11"/>
      <c r="B28" s="12">
        <v>24.86</v>
      </c>
      <c r="C28" s="12">
        <v>25.49</v>
      </c>
      <c r="D28" s="27">
        <v>29.98</v>
      </c>
      <c r="E28" s="19">
        <f t="shared" si="7"/>
        <v>4.490000000000002</v>
      </c>
      <c r="F28" s="19">
        <f t="shared" ref="F28:F41" si="9">1/(2^E28)</f>
        <v>4.4501568612408428E-2</v>
      </c>
      <c r="G28" s="20">
        <f t="shared" ref="G28:G31" si="10">F28*20</f>
        <v>0.89003137224816853</v>
      </c>
      <c r="I28" s="11"/>
      <c r="J28" s="12">
        <v>24.36</v>
      </c>
      <c r="K28" s="12">
        <v>24.49</v>
      </c>
      <c r="L28" s="27">
        <v>31.590000000000003</v>
      </c>
      <c r="M28" s="19">
        <f t="shared" si="8"/>
        <v>7.100000000000005</v>
      </c>
      <c r="N28" s="19">
        <f t="shared" ref="N28:N41" si="11">1/(2^M28)</f>
        <v>7.2893202463812836E-3</v>
      </c>
      <c r="O28" s="20">
        <f t="shared" ref="O28:O34" si="12">N28*20</f>
        <v>0.14578640492762568</v>
      </c>
      <c r="P28" s="28"/>
    </row>
    <row r="29" spans="1:16">
      <c r="A29" s="11"/>
      <c r="B29" s="12">
        <v>25.08</v>
      </c>
      <c r="C29" s="12">
        <v>25.49</v>
      </c>
      <c r="D29" s="27">
        <v>29.73</v>
      </c>
      <c r="E29" s="19">
        <f t="shared" si="7"/>
        <v>4.240000000000002</v>
      </c>
      <c r="F29" s="19">
        <f t="shared" si="9"/>
        <v>5.292158202265787E-2</v>
      </c>
      <c r="G29" s="20">
        <f t="shared" si="10"/>
        <v>1.0584316404531573</v>
      </c>
      <c r="I29" s="11"/>
      <c r="J29" s="12">
        <v>24.58</v>
      </c>
      <c r="K29" s="12">
        <v>24.49</v>
      </c>
      <c r="L29" s="27">
        <v>31.64</v>
      </c>
      <c r="M29" s="19">
        <f t="shared" si="8"/>
        <v>7.1500000000000021</v>
      </c>
      <c r="N29" s="19">
        <f t="shared" si="11"/>
        <v>7.041019239147104E-3</v>
      </c>
      <c r="O29" s="20">
        <f t="shared" si="12"/>
        <v>0.14082038478294207</v>
      </c>
      <c r="P29" s="28"/>
    </row>
    <row r="30" spans="1:16">
      <c r="A30" s="18" t="s">
        <v>102</v>
      </c>
      <c r="B30" s="12">
        <v>25.23</v>
      </c>
      <c r="C30" s="12">
        <v>25.59</v>
      </c>
      <c r="D30" s="27">
        <v>29.57</v>
      </c>
      <c r="E30" s="19">
        <f t="shared" si="7"/>
        <v>3.9800000000000004</v>
      </c>
      <c r="F30" s="19">
        <f t="shared" si="9"/>
        <v>6.3372467486876805E-2</v>
      </c>
      <c r="G30" s="20">
        <f t="shared" si="10"/>
        <v>1.2674493497375361</v>
      </c>
      <c r="I30" s="18" t="s">
        <v>102</v>
      </c>
      <c r="J30" s="12">
        <v>24.73</v>
      </c>
      <c r="K30" s="12">
        <v>24.59</v>
      </c>
      <c r="L30" s="27">
        <v>32.410000000000004</v>
      </c>
      <c r="M30" s="19">
        <f t="shared" si="8"/>
        <v>7.8200000000000038</v>
      </c>
      <c r="N30" s="19">
        <f t="shared" si="11"/>
        <v>4.4253276769367043E-3</v>
      </c>
      <c r="O30" s="20">
        <f t="shared" si="12"/>
        <v>8.8506553538734087E-2</v>
      </c>
      <c r="P30" s="28"/>
    </row>
    <row r="31" spans="1:16">
      <c r="A31" s="11"/>
      <c r="B31" s="12">
        <v>25.02</v>
      </c>
      <c r="C31" s="12">
        <v>25.59</v>
      </c>
      <c r="D31" s="27">
        <v>29.89</v>
      </c>
      <c r="E31" s="19">
        <f t="shared" si="7"/>
        <v>4.3000000000000007</v>
      </c>
      <c r="F31" s="19">
        <f t="shared" si="9"/>
        <v>5.0765774772264703E-2</v>
      </c>
      <c r="G31" s="20">
        <f t="shared" si="10"/>
        <v>1.0153154954452941</v>
      </c>
      <c r="I31" s="11"/>
      <c r="J31" s="12">
        <v>24.52</v>
      </c>
      <c r="K31" s="12">
        <v>24.59</v>
      </c>
      <c r="L31" s="27">
        <v>33.190000000000005</v>
      </c>
      <c r="M31" s="19">
        <f t="shared" si="8"/>
        <v>8.600000000000005</v>
      </c>
      <c r="N31" s="19">
        <f t="shared" si="11"/>
        <v>2.5771638882283003E-3</v>
      </c>
      <c r="O31" s="20">
        <f t="shared" si="12"/>
        <v>5.1543277764566006E-2</v>
      </c>
      <c r="P31" s="28"/>
    </row>
    <row r="32" spans="1:16">
      <c r="A32" s="11"/>
      <c r="B32" s="12">
        <v>25.01</v>
      </c>
      <c r="C32" s="12">
        <v>25.59</v>
      </c>
      <c r="D32" s="27">
        <v>29.78</v>
      </c>
      <c r="E32" s="19">
        <f t="shared" si="7"/>
        <v>4.1900000000000013</v>
      </c>
      <c r="F32" s="19">
        <f t="shared" si="9"/>
        <v>5.4787857582252138E-2</v>
      </c>
      <c r="G32" s="20">
        <f>F32*20</f>
        <v>1.0957571516450428</v>
      </c>
      <c r="I32" s="11"/>
      <c r="J32" s="12">
        <v>24.51</v>
      </c>
      <c r="K32" s="12">
        <v>24.59</v>
      </c>
      <c r="L32" s="27">
        <v>31.85</v>
      </c>
      <c r="M32" s="19">
        <f t="shared" si="8"/>
        <v>7.2600000000000016</v>
      </c>
      <c r="N32" s="19">
        <f t="shared" si="11"/>
        <v>6.524124370534126E-3</v>
      </c>
      <c r="O32" s="20">
        <f t="shared" si="12"/>
        <v>0.13048248741068252</v>
      </c>
      <c r="P32" s="28"/>
    </row>
    <row r="33" spans="1:19">
      <c r="A33" s="18" t="s">
        <v>510</v>
      </c>
      <c r="B33" s="12">
        <v>24.33</v>
      </c>
      <c r="C33" s="12">
        <v>24.93</v>
      </c>
      <c r="D33" s="27">
        <v>30.31</v>
      </c>
      <c r="E33" s="19">
        <f t="shared" si="7"/>
        <v>5.379999999999999</v>
      </c>
      <c r="F33" s="19">
        <f t="shared" si="9"/>
        <v>2.4013674707625218E-2</v>
      </c>
      <c r="G33" s="20">
        <f t="shared" ref="G33:G34" si="13">F33*20</f>
        <v>0.48027349415250437</v>
      </c>
      <c r="I33" s="18" t="s">
        <v>510</v>
      </c>
      <c r="J33" s="12">
        <v>23.83</v>
      </c>
      <c r="K33" s="12">
        <v>23.93</v>
      </c>
      <c r="L33" s="27">
        <v>31.15</v>
      </c>
      <c r="M33" s="19">
        <f t="shared" si="8"/>
        <v>7.2199999999999989</v>
      </c>
      <c r="N33" s="19">
        <f t="shared" si="11"/>
        <v>6.7075424721699554E-3</v>
      </c>
      <c r="O33" s="20">
        <f>N33*20</f>
        <v>0.13415084944339911</v>
      </c>
      <c r="P33" s="28"/>
    </row>
    <row r="34" spans="1:19">
      <c r="A34" s="11"/>
      <c r="B34" s="12">
        <v>24.52</v>
      </c>
      <c r="C34" s="12">
        <v>24.93</v>
      </c>
      <c r="D34" s="27">
        <v>30.91</v>
      </c>
      <c r="E34" s="19">
        <f t="shared" si="7"/>
        <v>5.98</v>
      </c>
      <c r="F34" s="19">
        <f t="shared" si="9"/>
        <v>1.5843116871719205E-2</v>
      </c>
      <c r="G34" s="20">
        <f t="shared" si="13"/>
        <v>0.31686233743438408</v>
      </c>
      <c r="I34" s="11"/>
      <c r="J34" s="12">
        <v>24.02</v>
      </c>
      <c r="K34" s="12">
        <v>23.93</v>
      </c>
      <c r="L34" s="27">
        <v>31.760000000000005</v>
      </c>
      <c r="M34" s="19">
        <f t="shared" si="8"/>
        <v>7.8300000000000054</v>
      </c>
      <c r="N34" s="19">
        <f t="shared" si="11"/>
        <v>4.3947597058156479E-3</v>
      </c>
      <c r="O34" s="20">
        <f t="shared" si="12"/>
        <v>8.7895194116312955E-2</v>
      </c>
      <c r="P34" s="28"/>
      <c r="Q34" t="s">
        <v>20</v>
      </c>
      <c r="R34" t="s">
        <v>389</v>
      </c>
      <c r="S34">
        <f>_xlfn.T.TEST(G27:G29,G30:G32,2,2)</f>
        <v>0.27773296884125426</v>
      </c>
    </row>
    <row r="35" spans="1:19">
      <c r="A35" s="11"/>
      <c r="B35" s="12">
        <v>24.43</v>
      </c>
      <c r="C35" s="12">
        <v>24.93</v>
      </c>
      <c r="D35" s="27">
        <v>30.48</v>
      </c>
      <c r="E35" s="19">
        <f t="shared" si="7"/>
        <v>5.5500000000000007</v>
      </c>
      <c r="F35" s="19">
        <f t="shared" si="9"/>
        <v>2.1344379011787418E-2</v>
      </c>
      <c r="G35" s="20">
        <f>F35*20</f>
        <v>0.42688758023574835</v>
      </c>
      <c r="I35" s="11"/>
      <c r="J35" s="12">
        <v>23.93</v>
      </c>
      <c r="K35" s="12">
        <v>23.93</v>
      </c>
      <c r="L35" s="27">
        <v>31.830000000000005</v>
      </c>
      <c r="M35" s="19">
        <f t="shared" si="8"/>
        <v>7.9000000000000057</v>
      </c>
      <c r="N35" s="19">
        <f t="shared" si="11"/>
        <v>4.1866150880323812E-3</v>
      </c>
      <c r="O35" s="20">
        <f>N35*20</f>
        <v>8.3732301760647623E-2</v>
      </c>
      <c r="P35" s="28"/>
      <c r="R35" t="s">
        <v>392</v>
      </c>
      <c r="S35">
        <f>_xlfn.T.TEST(G27:G29,G33:G35,2,2)</f>
        <v>1.394619146249182E-3</v>
      </c>
    </row>
    <row r="36" spans="1:19">
      <c r="A36" s="18" t="s">
        <v>511</v>
      </c>
      <c r="B36" s="12">
        <v>25.67</v>
      </c>
      <c r="C36" s="12">
        <v>26.11</v>
      </c>
      <c r="D36" s="27">
        <v>31.84</v>
      </c>
      <c r="E36" s="19">
        <f t="shared" si="7"/>
        <v>5.73</v>
      </c>
      <c r="F36" s="19">
        <f t="shared" si="9"/>
        <v>1.8840747307668132E-2</v>
      </c>
      <c r="G36" s="20">
        <f t="shared" ref="G36:G41" si="14">F36*20</f>
        <v>0.37681494615336264</v>
      </c>
      <c r="I36" s="18" t="s">
        <v>511</v>
      </c>
      <c r="J36" s="12">
        <v>25.17</v>
      </c>
      <c r="K36" s="12">
        <v>25.11</v>
      </c>
      <c r="L36" s="27">
        <v>32.480000000000004</v>
      </c>
      <c r="M36" s="19">
        <f t="shared" si="8"/>
        <v>7.3700000000000045</v>
      </c>
      <c r="N36" s="19">
        <f t="shared" si="11"/>
        <v>6.0451757560249396E-3</v>
      </c>
      <c r="O36" s="20">
        <f t="shared" ref="O36:O41" si="15">N36*20</f>
        <v>0.12090351512049879</v>
      </c>
      <c r="P36" s="28"/>
      <c r="R36" t="s">
        <v>390</v>
      </c>
      <c r="S36">
        <f>_xlfn.T.TEST(G36:G38,G39:G41,2,2)</f>
        <v>1.9759453665649774E-3</v>
      </c>
    </row>
    <row r="37" spans="1:19">
      <c r="A37" s="11"/>
      <c r="B37" s="12">
        <v>25.65</v>
      </c>
      <c r="C37" s="12">
        <v>26.11</v>
      </c>
      <c r="D37" s="27">
        <v>32.06</v>
      </c>
      <c r="E37" s="19">
        <f t="shared" si="7"/>
        <v>5.9500000000000028</v>
      </c>
      <c r="F37" s="19">
        <f t="shared" si="9"/>
        <v>1.6176014435021493E-2</v>
      </c>
      <c r="G37" s="20">
        <f t="shared" si="14"/>
        <v>0.32352028870042987</v>
      </c>
      <c r="I37" s="11"/>
      <c r="J37" s="12">
        <v>25.15</v>
      </c>
      <c r="K37" s="12">
        <v>25.11</v>
      </c>
      <c r="L37" s="27">
        <v>32.540000000000006</v>
      </c>
      <c r="M37" s="19">
        <f t="shared" si="8"/>
        <v>7.4300000000000068</v>
      </c>
      <c r="N37" s="19">
        <f t="shared" si="11"/>
        <v>5.798920197769699E-3</v>
      </c>
      <c r="O37" s="20">
        <f t="shared" si="15"/>
        <v>0.11597840395539398</v>
      </c>
      <c r="P37" s="28"/>
    </row>
    <row r="38" spans="1:19">
      <c r="A38" s="11"/>
      <c r="B38" s="12">
        <v>25.51</v>
      </c>
      <c r="C38" s="12">
        <v>26.11</v>
      </c>
      <c r="D38" s="27">
        <v>31.790000000000003</v>
      </c>
      <c r="E38" s="19">
        <f t="shared" si="7"/>
        <v>5.6800000000000033</v>
      </c>
      <c r="F38" s="19">
        <f t="shared" si="9"/>
        <v>1.9505164826587644E-2</v>
      </c>
      <c r="G38" s="20">
        <f t="shared" si="14"/>
        <v>0.39010329653175291</v>
      </c>
      <c r="I38" s="11"/>
      <c r="J38" s="12">
        <v>25.01</v>
      </c>
      <c r="K38" s="12">
        <v>25.11</v>
      </c>
      <c r="L38" s="27">
        <v>32.410000000000004</v>
      </c>
      <c r="M38" s="19">
        <f t="shared" si="8"/>
        <v>7.3000000000000043</v>
      </c>
      <c r="N38" s="19">
        <f t="shared" si="11"/>
        <v>6.3457218465330749E-3</v>
      </c>
      <c r="O38" s="20">
        <f t="shared" si="15"/>
        <v>0.12691443693066151</v>
      </c>
      <c r="P38" s="28"/>
    </row>
    <row r="39" spans="1:19">
      <c r="A39" s="18" t="s">
        <v>103</v>
      </c>
      <c r="B39" s="12">
        <v>25</v>
      </c>
      <c r="C39" s="12">
        <v>25.43</v>
      </c>
      <c r="D39" s="27">
        <v>32.54</v>
      </c>
      <c r="E39" s="19">
        <f t="shared" si="7"/>
        <v>7.1099999999999994</v>
      </c>
      <c r="F39" s="19">
        <f t="shared" si="9"/>
        <v>7.2389692335185279E-3</v>
      </c>
      <c r="G39" s="20">
        <f t="shared" si="14"/>
        <v>0.14477938467037055</v>
      </c>
      <c r="I39" s="18" t="s">
        <v>103</v>
      </c>
      <c r="J39" s="12">
        <v>24.5</v>
      </c>
      <c r="K39" s="12">
        <v>24.43</v>
      </c>
      <c r="L39" s="27">
        <v>32.82</v>
      </c>
      <c r="M39" s="19">
        <f t="shared" si="8"/>
        <v>8.39</v>
      </c>
      <c r="N39" s="19">
        <f t="shared" si="11"/>
        <v>2.9809750175010907E-3</v>
      </c>
      <c r="O39" s="20">
        <f t="shared" si="15"/>
        <v>5.9619500350021816E-2</v>
      </c>
      <c r="P39" s="28"/>
    </row>
    <row r="40" spans="1:19">
      <c r="A40" s="11"/>
      <c r="B40" s="12">
        <v>24.86</v>
      </c>
      <c r="C40" s="12">
        <v>25.43</v>
      </c>
      <c r="D40" s="27">
        <v>33.06</v>
      </c>
      <c r="E40" s="19">
        <f t="shared" si="7"/>
        <v>7.6300000000000026</v>
      </c>
      <c r="F40" s="19">
        <f t="shared" si="9"/>
        <v>5.0482532446776973E-3</v>
      </c>
      <c r="G40" s="20">
        <f t="shared" si="14"/>
        <v>0.10096506489355395</v>
      </c>
      <c r="I40" s="11"/>
      <c r="J40" s="12">
        <v>24.36</v>
      </c>
      <c r="K40" s="12">
        <v>24.43</v>
      </c>
      <c r="L40" s="27">
        <v>32.68</v>
      </c>
      <c r="M40" s="19">
        <f t="shared" si="8"/>
        <v>8.25</v>
      </c>
      <c r="N40" s="19">
        <f t="shared" si="11"/>
        <v>3.2847516220848244E-3</v>
      </c>
      <c r="O40" s="20">
        <f t="shared" si="15"/>
        <v>6.5695032441696485E-2</v>
      </c>
      <c r="P40" s="28"/>
    </row>
    <row r="41" spans="1:19" ht="15.75" thickBot="1">
      <c r="A41" s="21"/>
      <c r="B41" s="22">
        <v>24.92</v>
      </c>
      <c r="C41" s="22">
        <v>25.43</v>
      </c>
      <c r="D41" s="29">
        <v>32.220000000000006</v>
      </c>
      <c r="E41" s="23">
        <f t="shared" si="7"/>
        <v>6.7900000000000063</v>
      </c>
      <c r="F41" s="23">
        <f t="shared" si="9"/>
        <v>9.036626436760023E-3</v>
      </c>
      <c r="G41" s="26">
        <f t="shared" si="14"/>
        <v>0.18073252873520046</v>
      </c>
      <c r="I41" s="21"/>
      <c r="J41" s="22">
        <v>24.42</v>
      </c>
      <c r="K41" s="22">
        <v>24.43</v>
      </c>
      <c r="L41" s="29">
        <v>32.67</v>
      </c>
      <c r="M41" s="23">
        <f t="shared" si="8"/>
        <v>8.240000000000002</v>
      </c>
      <c r="N41" s="23">
        <f t="shared" si="11"/>
        <v>3.3075988764161191E-3</v>
      </c>
      <c r="O41" s="26">
        <f t="shared" si="15"/>
        <v>6.6151977528322387E-2</v>
      </c>
      <c r="P41" s="2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9"/>
  <sheetViews>
    <sheetView zoomScale="85" zoomScaleNormal="85" workbookViewId="0"/>
  </sheetViews>
  <sheetFormatPr defaultRowHeight="15"/>
  <cols>
    <col min="1" max="1" width="35.28515625" customWidth="1"/>
    <col min="2" max="2" width="11.85546875" customWidth="1"/>
    <col min="13" max="13" width="6" customWidth="1"/>
    <col min="14" max="14" width="13.5703125" customWidth="1"/>
  </cols>
  <sheetData>
    <row r="1" spans="1:24" ht="15.75">
      <c r="A1" s="76" t="s">
        <v>528</v>
      </c>
    </row>
    <row r="3" spans="1:24" ht="15.75" thickBot="1">
      <c r="A3" s="5" t="s">
        <v>89</v>
      </c>
      <c r="N3" s="5" t="s">
        <v>33</v>
      </c>
    </row>
    <row r="4" spans="1:24">
      <c r="A4" s="6" t="s">
        <v>126</v>
      </c>
      <c r="B4" s="34">
        <v>43302</v>
      </c>
      <c r="C4" s="7"/>
      <c r="D4" s="7"/>
      <c r="E4" s="7"/>
      <c r="F4" s="7"/>
      <c r="G4" s="7"/>
      <c r="H4" s="7"/>
      <c r="I4" s="7"/>
      <c r="J4" s="7"/>
      <c r="K4" s="35"/>
      <c r="N4" s="6" t="s">
        <v>126</v>
      </c>
      <c r="O4" s="7"/>
      <c r="P4" s="7"/>
      <c r="Q4" s="7"/>
      <c r="R4" s="7"/>
      <c r="S4" s="7"/>
      <c r="T4" s="7"/>
      <c r="U4" s="7"/>
      <c r="V4" s="7"/>
      <c r="W4" s="7"/>
      <c r="X4" s="35"/>
    </row>
    <row r="5" spans="1:24">
      <c r="A5" s="11" t="s">
        <v>127</v>
      </c>
      <c r="B5" s="12">
        <v>124.636</v>
      </c>
      <c r="C5" s="12">
        <v>151.55199999999999</v>
      </c>
      <c r="D5" s="12">
        <v>108.657</v>
      </c>
      <c r="E5" s="12">
        <v>133.37999999999997</v>
      </c>
      <c r="F5" s="12">
        <v>93.945999999999998</v>
      </c>
      <c r="G5" s="12">
        <v>93.397000000000006</v>
      </c>
      <c r="H5" s="12">
        <v>100.581</v>
      </c>
      <c r="I5" s="69">
        <v>93.58</v>
      </c>
      <c r="J5" s="69">
        <v>115.164</v>
      </c>
      <c r="K5" s="17">
        <v>137.245</v>
      </c>
      <c r="N5" s="11" t="s">
        <v>127</v>
      </c>
      <c r="O5" s="12">
        <v>132.50800000000001</v>
      </c>
      <c r="P5" s="12">
        <v>161.12299999999999</v>
      </c>
      <c r="Q5" s="12">
        <v>115.52</v>
      </c>
      <c r="R5" s="12">
        <v>141.804</v>
      </c>
      <c r="S5" s="12">
        <v>99.879000000000005</v>
      </c>
      <c r="T5" s="12">
        <v>99.296000000000006</v>
      </c>
      <c r="U5" s="12">
        <v>106.93300000000001</v>
      </c>
      <c r="V5" s="69">
        <v>122.483</v>
      </c>
      <c r="W5" s="69">
        <v>110.503</v>
      </c>
      <c r="X5" s="17">
        <v>134.44</v>
      </c>
    </row>
    <row r="6" spans="1:24">
      <c r="A6" s="11" t="s">
        <v>1</v>
      </c>
      <c r="B6" s="12">
        <v>113.413</v>
      </c>
      <c r="C6" s="12">
        <v>146.69999999999999</v>
      </c>
      <c r="D6" s="12">
        <v>119.7</v>
      </c>
      <c r="E6" s="12">
        <v>113.45099999999999</v>
      </c>
      <c r="F6" s="12">
        <v>101.29300000000001</v>
      </c>
      <c r="G6" s="12">
        <v>100.313</v>
      </c>
      <c r="H6" s="69">
        <v>94.52</v>
      </c>
      <c r="I6" s="69">
        <v>115.82</v>
      </c>
      <c r="J6" s="69">
        <v>137.80000000000001</v>
      </c>
      <c r="K6" s="17">
        <v>139.83000000000001</v>
      </c>
      <c r="N6" s="11" t="s">
        <v>1</v>
      </c>
      <c r="O6" s="12">
        <v>118.804</v>
      </c>
      <c r="P6" s="12">
        <v>153.673</v>
      </c>
      <c r="Q6" s="12">
        <v>125.389</v>
      </c>
      <c r="R6" s="12">
        <v>118.843</v>
      </c>
      <c r="S6" s="12">
        <v>106.107</v>
      </c>
      <c r="T6" s="12">
        <v>105.081</v>
      </c>
      <c r="U6" s="69">
        <v>105.4</v>
      </c>
      <c r="V6" s="69">
        <v>137.21899999999999</v>
      </c>
      <c r="W6" s="69">
        <v>119.21299999999999</v>
      </c>
      <c r="X6" s="17">
        <v>123.452</v>
      </c>
    </row>
    <row r="7" spans="1:24">
      <c r="A7" s="11" t="s">
        <v>2</v>
      </c>
      <c r="B7" s="12">
        <v>119.7</v>
      </c>
      <c r="C7" s="12">
        <v>129.02600000000001</v>
      </c>
      <c r="D7" s="12">
        <v>106.02</v>
      </c>
      <c r="E7" s="12">
        <v>140.083</v>
      </c>
      <c r="F7" s="12">
        <v>87.718999999999994</v>
      </c>
      <c r="G7" s="12">
        <v>119.119</v>
      </c>
      <c r="H7" s="69">
        <v>110.35</v>
      </c>
      <c r="I7" s="69">
        <v>116.94499999999999</v>
      </c>
      <c r="J7" s="69">
        <v>141.5</v>
      </c>
      <c r="K7" s="17">
        <v>98.86</v>
      </c>
      <c r="N7" s="11" t="s">
        <v>2</v>
      </c>
      <c r="O7" s="12">
        <v>119.504</v>
      </c>
      <c r="P7" s="12">
        <v>128.81399999999999</v>
      </c>
      <c r="Q7" s="12">
        <v>105.846</v>
      </c>
      <c r="R7" s="12">
        <v>139.85400000000001</v>
      </c>
      <c r="S7" s="12">
        <v>87.575000000000003</v>
      </c>
      <c r="T7" s="12">
        <v>118.923</v>
      </c>
      <c r="U7" s="69">
        <v>104.253</v>
      </c>
      <c r="V7" s="69">
        <v>129.25</v>
      </c>
      <c r="W7" s="69">
        <v>97.055999999999997</v>
      </c>
      <c r="X7" s="17">
        <v>136.62100000000001</v>
      </c>
    </row>
    <row r="8" spans="1:24">
      <c r="A8" s="11" t="s">
        <v>128</v>
      </c>
      <c r="B8" s="12">
        <v>99.575000000000003</v>
      </c>
      <c r="C8" s="12">
        <v>119.7</v>
      </c>
      <c r="D8" s="12">
        <v>96.271000000000001</v>
      </c>
      <c r="E8" s="12">
        <v>125.98699999999999</v>
      </c>
      <c r="F8" s="12">
        <v>135.11699999999999</v>
      </c>
      <c r="G8" s="12">
        <v>108.006</v>
      </c>
      <c r="H8" s="12"/>
      <c r="I8" s="12"/>
      <c r="J8" s="12"/>
      <c r="K8" s="17"/>
      <c r="N8" s="11" t="s">
        <v>128</v>
      </c>
      <c r="O8" s="12">
        <v>107.444</v>
      </c>
      <c r="P8" s="12">
        <v>129.15899999999999</v>
      </c>
      <c r="Q8" s="12">
        <v>103.878</v>
      </c>
      <c r="R8" s="12">
        <v>135.94300000000001</v>
      </c>
      <c r="S8" s="12">
        <v>145.79400000000001</v>
      </c>
      <c r="T8" s="12">
        <v>116.54</v>
      </c>
      <c r="U8" s="12"/>
      <c r="V8" s="12"/>
      <c r="W8" s="12"/>
      <c r="X8" s="17"/>
    </row>
    <row r="9" spans="1:24">
      <c r="A9" s="11" t="s">
        <v>110</v>
      </c>
      <c r="B9" s="12">
        <v>106.8275</v>
      </c>
      <c r="C9" s="12">
        <v>93.128500000000003</v>
      </c>
      <c r="D9" s="12">
        <v>115.00699999999999</v>
      </c>
      <c r="E9" s="12">
        <v>115.7955</v>
      </c>
      <c r="F9" s="12">
        <v>105.6875</v>
      </c>
      <c r="G9" s="12">
        <v>122.455</v>
      </c>
      <c r="H9" s="12">
        <f>AVERAGE(B9:G9)</f>
        <v>109.81683333333335</v>
      </c>
      <c r="I9" s="12"/>
      <c r="J9" s="12"/>
      <c r="K9" s="17"/>
      <c r="N9" s="11" t="s">
        <v>110</v>
      </c>
      <c r="O9" s="12">
        <v>120.946</v>
      </c>
      <c r="P9" s="12">
        <v>105.43600000000001</v>
      </c>
      <c r="Q9" s="12">
        <v>120.33</v>
      </c>
      <c r="R9" s="12">
        <v>131.09899999999999</v>
      </c>
      <c r="S9" s="12">
        <v>119.655</v>
      </c>
      <c r="T9" s="12">
        <v>138.63900000000001</v>
      </c>
      <c r="U9" s="69">
        <v>134.20599999999999</v>
      </c>
      <c r="W9" s="12"/>
      <c r="X9" s="17"/>
    </row>
    <row r="10" spans="1:24">
      <c r="A10" s="11"/>
      <c r="B10" s="12"/>
      <c r="C10" s="12"/>
      <c r="D10" s="12"/>
      <c r="E10" s="12"/>
      <c r="F10" s="12"/>
      <c r="G10" s="12"/>
      <c r="H10" s="12"/>
      <c r="I10" s="12"/>
      <c r="J10" s="12"/>
      <c r="K10" s="17"/>
      <c r="N10" s="11"/>
      <c r="O10" s="12"/>
      <c r="P10" s="12"/>
      <c r="Q10" s="12"/>
      <c r="R10" s="12"/>
      <c r="S10" s="12"/>
      <c r="T10" s="12"/>
      <c r="U10" s="12"/>
      <c r="V10" s="12"/>
      <c r="W10" s="12"/>
      <c r="X10" s="17"/>
    </row>
    <row r="11" spans="1:24">
      <c r="A11" s="11" t="s">
        <v>129</v>
      </c>
      <c r="B11" s="12"/>
      <c r="C11" s="12"/>
      <c r="D11" s="12"/>
      <c r="E11" s="12"/>
      <c r="F11" s="12"/>
      <c r="G11" s="12"/>
      <c r="H11" s="12"/>
      <c r="I11" s="12"/>
      <c r="J11" s="12"/>
      <c r="K11" s="17"/>
      <c r="N11" s="11" t="s">
        <v>129</v>
      </c>
      <c r="O11" s="12"/>
      <c r="P11" s="12"/>
      <c r="Q11" s="12"/>
      <c r="R11" s="12"/>
      <c r="S11" s="12"/>
      <c r="T11" s="12"/>
      <c r="U11" s="12"/>
      <c r="V11" s="12"/>
      <c r="W11" s="12"/>
      <c r="X11" s="17"/>
    </row>
    <row r="12" spans="1:24">
      <c r="A12" s="11" t="s">
        <v>127</v>
      </c>
      <c r="B12" s="12">
        <v>204.20599999999999</v>
      </c>
      <c r="C12" s="12">
        <v>247.624</v>
      </c>
      <c r="D12" s="12">
        <v>144.24600000000001</v>
      </c>
      <c r="E12" s="12">
        <v>246.61099999999999</v>
      </c>
      <c r="F12" s="12">
        <v>200.285</v>
      </c>
      <c r="G12" s="12">
        <v>145.35</v>
      </c>
      <c r="H12" s="12">
        <v>100.66800000000001</v>
      </c>
      <c r="I12" s="12">
        <v>342.09100000000001</v>
      </c>
      <c r="J12" s="12">
        <v>172.59100000000001</v>
      </c>
      <c r="K12" s="17">
        <v>200.04499999999999</v>
      </c>
      <c r="N12" s="11" t="s">
        <v>127</v>
      </c>
      <c r="O12" s="12">
        <v>236.44900000000001</v>
      </c>
      <c r="P12" s="12">
        <v>286.72300000000001</v>
      </c>
      <c r="Q12" s="69">
        <v>232.05199999999999</v>
      </c>
      <c r="R12" s="12">
        <v>285.55</v>
      </c>
      <c r="S12" s="12">
        <v>231.90899999999999</v>
      </c>
      <c r="T12" s="12">
        <v>168.3</v>
      </c>
      <c r="U12" s="12">
        <v>116.563</v>
      </c>
      <c r="V12" s="12">
        <v>396.10599999999999</v>
      </c>
      <c r="W12" s="12">
        <v>199.84299999999999</v>
      </c>
      <c r="X12" s="12">
        <v>167.02199999999999</v>
      </c>
    </row>
    <row r="13" spans="1:24">
      <c r="A13" s="11" t="s">
        <v>1</v>
      </c>
      <c r="B13" s="12">
        <v>142.41999999999999</v>
      </c>
      <c r="C13" s="12">
        <v>153.74799999999999</v>
      </c>
      <c r="D13" s="12">
        <v>153.376</v>
      </c>
      <c r="E13" s="12">
        <v>136.80000000000001</v>
      </c>
      <c r="F13" s="12">
        <v>140.22</v>
      </c>
      <c r="G13" s="12">
        <v>108.657</v>
      </c>
      <c r="H13" s="12">
        <v>131.178</v>
      </c>
      <c r="I13" s="12">
        <v>107.816</v>
      </c>
      <c r="J13" s="12">
        <v>102.125</v>
      </c>
      <c r="K13" s="17">
        <v>130.28</v>
      </c>
      <c r="N13" s="11" t="s">
        <v>1</v>
      </c>
      <c r="O13" s="12">
        <v>164.90799999999999</v>
      </c>
      <c r="P13" s="69">
        <v>151.31200000000001</v>
      </c>
      <c r="Q13" s="12">
        <v>177.59299999999999</v>
      </c>
      <c r="R13" s="12">
        <v>158.4</v>
      </c>
      <c r="S13" s="12">
        <v>162.36000000000001</v>
      </c>
      <c r="T13" s="12">
        <v>125.81399999999999</v>
      </c>
      <c r="U13" s="12">
        <v>151.89099999999999</v>
      </c>
      <c r="V13" s="12">
        <v>124.84</v>
      </c>
      <c r="W13" s="12">
        <v>118.25</v>
      </c>
      <c r="X13" s="12">
        <v>178.024</v>
      </c>
    </row>
    <row r="14" spans="1:24">
      <c r="A14" s="11" t="s">
        <v>2</v>
      </c>
      <c r="B14" s="12">
        <v>126.616</v>
      </c>
      <c r="C14" s="12">
        <v>114.09</v>
      </c>
      <c r="D14" s="12">
        <v>118.83199999999999</v>
      </c>
      <c r="E14" s="12">
        <v>157.25200000000001</v>
      </c>
      <c r="F14" s="12">
        <v>136.46799999999999</v>
      </c>
      <c r="G14" s="12">
        <v>151.01</v>
      </c>
      <c r="H14" s="12">
        <v>140.59399999999999</v>
      </c>
      <c r="I14" s="12">
        <v>117.99</v>
      </c>
      <c r="J14" s="12">
        <v>130.69999999999999</v>
      </c>
      <c r="K14" s="12">
        <v>213.75</v>
      </c>
      <c r="N14" s="11" t="s">
        <v>2</v>
      </c>
      <c r="O14" s="12">
        <v>146.608</v>
      </c>
      <c r="P14" s="12">
        <v>132.10400000000001</v>
      </c>
      <c r="Q14" s="12">
        <v>137.595</v>
      </c>
      <c r="R14" s="12">
        <v>182.08099999999999</v>
      </c>
      <c r="S14" s="12">
        <v>158.01499999999999</v>
      </c>
      <c r="T14" s="12">
        <v>247.5</v>
      </c>
      <c r="U14" s="12">
        <v>162.79300000000001</v>
      </c>
      <c r="V14" s="12">
        <v>136.62</v>
      </c>
      <c r="W14" s="69">
        <v>151.01</v>
      </c>
      <c r="X14" s="17">
        <v>175.279</v>
      </c>
    </row>
    <row r="15" spans="1:24">
      <c r="A15" s="11" t="s">
        <v>128</v>
      </c>
      <c r="B15" s="12">
        <v>114.95</v>
      </c>
      <c r="C15" s="12">
        <v>117.8</v>
      </c>
      <c r="D15" s="12">
        <v>124.36</v>
      </c>
      <c r="E15" s="12">
        <v>137.75</v>
      </c>
      <c r="F15" s="12">
        <v>144.89400000000001</v>
      </c>
      <c r="G15" s="12">
        <v>104.785</v>
      </c>
      <c r="I15" s="12"/>
      <c r="J15" s="12"/>
      <c r="N15" s="11" t="s">
        <v>128</v>
      </c>
      <c r="O15" s="12">
        <v>114.94999999999999</v>
      </c>
      <c r="P15" s="12">
        <v>117.8</v>
      </c>
      <c r="Q15" s="12">
        <v>125.95</v>
      </c>
      <c r="R15" s="12">
        <v>137.75</v>
      </c>
      <c r="S15" s="12">
        <v>154.04520000000002</v>
      </c>
      <c r="T15" s="12">
        <v>104.785</v>
      </c>
      <c r="V15" s="12"/>
      <c r="W15" s="12"/>
      <c r="X15" s="17"/>
    </row>
    <row r="16" spans="1:24">
      <c r="A16" s="11" t="s">
        <v>110</v>
      </c>
      <c r="B16" s="12">
        <v>119.7</v>
      </c>
      <c r="C16" s="12">
        <v>136.80000000000001</v>
      </c>
      <c r="D16" s="12">
        <v>116.63</v>
      </c>
      <c r="E16" s="12">
        <v>74.418999999999997</v>
      </c>
      <c r="F16" s="12">
        <v>140.59399999999999</v>
      </c>
      <c r="G16" s="12">
        <v>136.80000000000001</v>
      </c>
      <c r="H16" s="69">
        <v>126.824</v>
      </c>
      <c r="J16" s="12"/>
      <c r="K16" s="17"/>
      <c r="N16" s="11" t="s">
        <v>110</v>
      </c>
      <c r="O16" s="12">
        <v>119.69999999999999</v>
      </c>
      <c r="P16" s="12">
        <v>136.79999999999998</v>
      </c>
      <c r="Q16" s="12">
        <v>136.79999999999998</v>
      </c>
      <c r="R16" s="12">
        <v>192.3922</v>
      </c>
      <c r="S16" s="69">
        <v>119.54</v>
      </c>
      <c r="T16" s="12">
        <v>74.419200000000004</v>
      </c>
      <c r="U16">
        <v>145.38</v>
      </c>
      <c r="V16" s="12"/>
      <c r="W16" s="12"/>
      <c r="X16" s="17"/>
    </row>
    <row r="17" spans="1:24">
      <c r="A17" s="11"/>
      <c r="B17" s="12"/>
      <c r="C17" s="12"/>
      <c r="D17" s="12"/>
      <c r="E17" s="12"/>
      <c r="F17" s="12"/>
      <c r="G17" s="12"/>
      <c r="H17" s="12"/>
      <c r="I17" s="12"/>
      <c r="J17" s="12"/>
      <c r="K17" s="17"/>
      <c r="N17" s="11"/>
      <c r="O17" s="12"/>
      <c r="P17" s="12"/>
      <c r="Q17" s="12"/>
      <c r="R17" s="12"/>
      <c r="S17" s="12"/>
      <c r="T17" s="12"/>
      <c r="U17" s="12"/>
      <c r="V17" s="12"/>
      <c r="W17" s="12"/>
      <c r="X17" s="17"/>
    </row>
    <row r="18" spans="1:24">
      <c r="A18" s="11" t="s">
        <v>130</v>
      </c>
      <c r="B18" s="12"/>
      <c r="C18" s="12"/>
      <c r="D18" s="12"/>
      <c r="E18" s="12"/>
      <c r="F18" s="12"/>
      <c r="G18" s="12"/>
      <c r="H18" s="12"/>
      <c r="I18" s="12"/>
      <c r="J18" s="12"/>
      <c r="K18" s="17"/>
      <c r="N18" s="11" t="s">
        <v>130</v>
      </c>
      <c r="O18" s="12"/>
      <c r="P18" s="12"/>
      <c r="Q18" s="12"/>
      <c r="R18" s="12"/>
      <c r="S18" s="12"/>
      <c r="T18" s="12"/>
      <c r="U18" s="12"/>
      <c r="V18" s="12"/>
      <c r="W18" s="12"/>
      <c r="X18" s="17"/>
    </row>
    <row r="19" spans="1:24">
      <c r="A19" s="11" t="s">
        <v>127</v>
      </c>
      <c r="B19" s="12">
        <v>142.86199999999999</v>
      </c>
      <c r="C19" s="12">
        <v>192.48099999999999</v>
      </c>
      <c r="D19" s="12">
        <v>349.59999999999997</v>
      </c>
      <c r="E19" s="12">
        <v>421.572</v>
      </c>
      <c r="F19" s="12">
        <v>222.75200000000001</v>
      </c>
      <c r="G19" s="12">
        <v>261.89999999999998</v>
      </c>
      <c r="H19" s="12">
        <v>475</v>
      </c>
      <c r="I19" s="12">
        <v>261.899</v>
      </c>
      <c r="J19" s="12">
        <v>243.2</v>
      </c>
      <c r="K19" s="17">
        <v>259.09699999999998</v>
      </c>
      <c r="N19" s="11" t="s">
        <v>127</v>
      </c>
      <c r="O19" s="12">
        <v>180.45780000000002</v>
      </c>
      <c r="P19" s="12">
        <v>243.13440000000003</v>
      </c>
      <c r="Q19" s="12">
        <v>441.59999999999997</v>
      </c>
      <c r="R19" s="12">
        <v>532.51199999999994</v>
      </c>
      <c r="S19" s="12">
        <v>281.37119999999999</v>
      </c>
      <c r="T19" s="12">
        <v>330.82079999999996</v>
      </c>
      <c r="U19" s="12">
        <v>600</v>
      </c>
      <c r="V19" s="12">
        <v>330.82080000000002</v>
      </c>
      <c r="W19" s="12">
        <v>307.2</v>
      </c>
      <c r="X19" s="17">
        <v>327.28079999999994</v>
      </c>
    </row>
    <row r="20" spans="1:24">
      <c r="A20" s="11" t="s">
        <v>1</v>
      </c>
      <c r="B20" s="12">
        <v>229.78100000000001</v>
      </c>
      <c r="C20" s="12">
        <v>232.453</v>
      </c>
      <c r="D20" s="12">
        <v>150.51599999999999</v>
      </c>
      <c r="E20" s="12">
        <v>130.447</v>
      </c>
      <c r="F20" s="12">
        <v>162.92500000000001</v>
      </c>
      <c r="G20" s="12">
        <v>96.307000000000002</v>
      </c>
      <c r="H20" s="12">
        <v>122.13437500000001</v>
      </c>
      <c r="I20" s="12">
        <v>93.397000000000006</v>
      </c>
      <c r="J20" s="12">
        <v>227.10900000000001</v>
      </c>
      <c r="K20" s="17">
        <v>118.77200000000001</v>
      </c>
      <c r="N20" s="11" t="s">
        <v>1</v>
      </c>
      <c r="O20" s="12">
        <v>290.25</v>
      </c>
      <c r="P20" s="12">
        <v>293.625</v>
      </c>
      <c r="Q20" s="12">
        <v>190.125</v>
      </c>
      <c r="R20" s="12">
        <v>164.77500000000001</v>
      </c>
      <c r="S20" s="12">
        <v>205.8</v>
      </c>
      <c r="T20" s="12">
        <v>121.6512</v>
      </c>
      <c r="U20" s="12">
        <v>154.27500000000001</v>
      </c>
      <c r="V20" s="12">
        <v>117.97499999999999</v>
      </c>
      <c r="W20" s="12">
        <v>286.875</v>
      </c>
      <c r="X20" s="17">
        <v>150.0282</v>
      </c>
    </row>
    <row r="21" spans="1:24">
      <c r="A21" s="11" t="s">
        <v>2</v>
      </c>
      <c r="B21" s="12">
        <v>253.828</v>
      </c>
      <c r="C21" s="12">
        <v>122.134</v>
      </c>
      <c r="D21" s="12">
        <v>136.56100000000001</v>
      </c>
      <c r="E21" s="12">
        <v>153.9</v>
      </c>
      <c r="F21" s="12">
        <v>127.83199999999999</v>
      </c>
      <c r="G21" s="12">
        <v>140.48099999999999</v>
      </c>
      <c r="H21" s="12">
        <v>164.33099999999999</v>
      </c>
      <c r="I21" s="12">
        <v>114.09</v>
      </c>
      <c r="J21" s="12">
        <v>260.09100000000001</v>
      </c>
      <c r="K21" s="17">
        <v>116.28</v>
      </c>
      <c r="N21" s="11" t="s">
        <v>2</v>
      </c>
      <c r="O21" s="12">
        <v>320.625</v>
      </c>
      <c r="P21" s="12">
        <v>154.27500000000001</v>
      </c>
      <c r="Q21" s="12">
        <v>172.49759999999998</v>
      </c>
      <c r="R21" s="12">
        <v>194.4</v>
      </c>
      <c r="S21" s="12">
        <v>161.47200000000001</v>
      </c>
      <c r="T21" s="12">
        <v>177.45</v>
      </c>
      <c r="U21" s="12">
        <v>207.57600000000002</v>
      </c>
      <c r="V21" s="12">
        <v>144.11340000000001</v>
      </c>
      <c r="W21" s="12">
        <v>328.536</v>
      </c>
      <c r="X21" s="17">
        <v>146.88</v>
      </c>
    </row>
    <row r="22" spans="1:24">
      <c r="A22" s="11" t="s">
        <v>128</v>
      </c>
      <c r="B22" s="12">
        <v>133.47499999999999</v>
      </c>
      <c r="C22" s="12">
        <v>126.16000000000001</v>
      </c>
      <c r="D22" s="12">
        <v>134.005</v>
      </c>
      <c r="E22" s="12">
        <v>148.38999999999999</v>
      </c>
      <c r="F22" s="12">
        <v>138.96600000000001</v>
      </c>
      <c r="G22" s="12">
        <v>123.02499999999999</v>
      </c>
      <c r="I22" s="12"/>
      <c r="J22" s="12"/>
      <c r="K22" s="17"/>
      <c r="N22" s="11" t="s">
        <v>128</v>
      </c>
      <c r="O22" s="12">
        <v>146.12</v>
      </c>
      <c r="P22" s="12">
        <v>138.11200000000002</v>
      </c>
      <c r="Q22" s="12">
        <v>147.01</v>
      </c>
      <c r="R22" s="12">
        <v>162.44800000000001</v>
      </c>
      <c r="S22" s="12">
        <v>152.13120000000001</v>
      </c>
      <c r="T22" s="12">
        <v>134.68</v>
      </c>
      <c r="V22" s="12"/>
      <c r="W22" s="12"/>
      <c r="X22" s="17"/>
    </row>
    <row r="23" spans="1:24">
      <c r="A23" s="11" t="s">
        <v>110</v>
      </c>
      <c r="B23" s="12">
        <v>132.72200000000001</v>
      </c>
      <c r="C23" s="12">
        <v>107.76600000000001</v>
      </c>
      <c r="D23" s="12">
        <v>119.7</v>
      </c>
      <c r="E23" s="12">
        <v>103.399</v>
      </c>
      <c r="F23" s="12">
        <v>132.30099999999999</v>
      </c>
      <c r="G23" s="12">
        <v>136.80000000000001</v>
      </c>
      <c r="H23" s="12">
        <v>140.48099999999999</v>
      </c>
      <c r="I23" s="12"/>
      <c r="J23" s="12"/>
      <c r="K23" s="17"/>
      <c r="N23" s="11" t="s">
        <v>110</v>
      </c>
      <c r="O23" s="12">
        <v>145.29527999999999</v>
      </c>
      <c r="P23" s="12">
        <v>117.97500000000001</v>
      </c>
      <c r="Q23" s="12">
        <v>131.04</v>
      </c>
      <c r="R23" s="12">
        <v>113.19516000000002</v>
      </c>
      <c r="S23" s="12">
        <v>144.83456000000001</v>
      </c>
      <c r="T23" s="12">
        <v>149.76</v>
      </c>
      <c r="U23" s="12">
        <v>153.79</v>
      </c>
      <c r="V23" s="12"/>
      <c r="W23" s="12"/>
      <c r="X23" s="17"/>
    </row>
    <row r="24" spans="1:24">
      <c r="A24" s="11"/>
      <c r="B24" s="12"/>
      <c r="C24" s="12"/>
      <c r="D24" s="12"/>
      <c r="E24" s="12"/>
      <c r="F24" s="12"/>
      <c r="G24" s="12"/>
      <c r="H24" s="12"/>
      <c r="I24" s="12"/>
      <c r="J24" s="12"/>
      <c r="K24" s="17"/>
      <c r="N24" s="11"/>
      <c r="O24" s="12"/>
      <c r="P24" s="12"/>
      <c r="Q24" s="12"/>
      <c r="R24" s="12"/>
      <c r="S24" s="12"/>
      <c r="T24" s="12"/>
      <c r="U24" s="12"/>
      <c r="V24" s="12"/>
      <c r="W24" s="12"/>
      <c r="X24" s="17"/>
    </row>
    <row r="25" spans="1:24">
      <c r="A25" s="11" t="s">
        <v>131</v>
      </c>
      <c r="B25" s="12"/>
      <c r="C25" s="12"/>
      <c r="D25" s="12"/>
      <c r="E25" s="12"/>
      <c r="F25" s="12"/>
      <c r="G25" s="12"/>
      <c r="H25" s="12"/>
      <c r="I25" s="12"/>
      <c r="J25" s="12"/>
      <c r="K25" s="17"/>
      <c r="N25" s="11" t="s">
        <v>131</v>
      </c>
      <c r="O25" s="12"/>
      <c r="P25" s="12"/>
      <c r="Q25" s="12"/>
      <c r="R25" s="12"/>
      <c r="S25" s="12"/>
      <c r="T25" s="12"/>
      <c r="U25" s="12"/>
      <c r="V25" s="12"/>
      <c r="W25" s="12"/>
      <c r="X25" s="17"/>
    </row>
    <row r="26" spans="1:24">
      <c r="A26" s="11" t="s">
        <v>127</v>
      </c>
      <c r="B26" s="12">
        <v>554.00199999999995</v>
      </c>
      <c r="C26" s="12">
        <v>348.56599999999997</v>
      </c>
      <c r="D26" s="12">
        <v>97.614000000000004</v>
      </c>
      <c r="E26" s="12">
        <v>12.824999999999999</v>
      </c>
      <c r="F26" s="12">
        <v>200.39099999999999</v>
      </c>
      <c r="G26" s="12">
        <v>512.10199999999998</v>
      </c>
      <c r="H26" s="12">
        <v>475</v>
      </c>
      <c r="I26" s="12">
        <v>287.45099999999996</v>
      </c>
      <c r="J26" s="12">
        <v>495.25799999999998</v>
      </c>
      <c r="K26" s="17">
        <v>475</v>
      </c>
      <c r="N26" s="11" t="s">
        <v>127</v>
      </c>
      <c r="O26" s="12">
        <v>758.10735</v>
      </c>
      <c r="P26" s="12">
        <v>476.98559999999998</v>
      </c>
      <c r="Q26" s="12">
        <v>133.57759999999999</v>
      </c>
      <c r="R26" s="12">
        <v>17.55</v>
      </c>
      <c r="S26" s="12">
        <v>274.21899999999999</v>
      </c>
      <c r="T26" s="12">
        <v>700.77200000000005</v>
      </c>
      <c r="U26" s="12">
        <v>650</v>
      </c>
      <c r="V26" s="12">
        <v>393.35399999999998</v>
      </c>
      <c r="W26" s="12">
        <v>677.72120000000007</v>
      </c>
      <c r="X26" s="17">
        <v>650</v>
      </c>
    </row>
    <row r="27" spans="1:24">
      <c r="A27" s="11" t="s">
        <v>1</v>
      </c>
      <c r="B27" s="12">
        <v>113.206</v>
      </c>
      <c r="C27" s="12">
        <v>227.10900000000001</v>
      </c>
      <c r="D27" s="12">
        <v>232.75</v>
      </c>
      <c r="E27" s="12">
        <v>200.39099999999999</v>
      </c>
      <c r="F27" s="12">
        <v>114.95</v>
      </c>
      <c r="G27" s="12">
        <v>274.36</v>
      </c>
      <c r="H27" s="12">
        <v>273.60000000000002</v>
      </c>
      <c r="I27" s="12">
        <v>153.9</v>
      </c>
      <c r="J27" s="12">
        <v>179.101</v>
      </c>
      <c r="K27" s="17">
        <v>67.331000000000003</v>
      </c>
      <c r="N27" s="11" t="s">
        <v>1</v>
      </c>
      <c r="O27" s="12">
        <v>154.91319999999999</v>
      </c>
      <c r="P27" s="12">
        <v>310.78100000000001</v>
      </c>
      <c r="Q27" s="12">
        <v>318.5</v>
      </c>
      <c r="R27" s="12">
        <v>274.21899999999999</v>
      </c>
      <c r="S27" s="12">
        <v>157.30000000000001</v>
      </c>
      <c r="T27" s="12">
        <v>375.44000000000005</v>
      </c>
      <c r="U27" s="12">
        <v>374.40000000000003</v>
      </c>
      <c r="V27" s="12">
        <v>210.6</v>
      </c>
      <c r="W27" s="12">
        <v>245.08600000000001</v>
      </c>
      <c r="X27" s="17">
        <v>92.138000000000005</v>
      </c>
    </row>
    <row r="28" spans="1:24">
      <c r="A28" s="11" t="s">
        <v>2</v>
      </c>
      <c r="B28" s="12">
        <v>268.40199999999999</v>
      </c>
      <c r="C28" s="12">
        <v>186.2</v>
      </c>
      <c r="D28" s="12">
        <v>227.10900000000001</v>
      </c>
      <c r="E28" s="12">
        <v>170.584</v>
      </c>
      <c r="F28" s="12">
        <v>246.92400000000001</v>
      </c>
      <c r="G28" s="12">
        <v>213.22800000000001</v>
      </c>
      <c r="H28" s="12">
        <v>254.31100000000001</v>
      </c>
      <c r="I28" s="12">
        <v>171.32</v>
      </c>
      <c r="J28" s="12">
        <v>170.584</v>
      </c>
      <c r="K28" s="17">
        <v>203.53299999999999</v>
      </c>
      <c r="N28" s="11" t="s">
        <v>2</v>
      </c>
      <c r="O28" s="12">
        <v>367.286</v>
      </c>
      <c r="P28" s="12">
        <v>24.8</v>
      </c>
      <c r="Q28" s="12">
        <v>310.78100000000001</v>
      </c>
      <c r="R28" s="12">
        <v>233.43100000000001</v>
      </c>
      <c r="S28" s="12">
        <v>337.89600000000002</v>
      </c>
      <c r="T28" s="12">
        <v>291.78500000000003</v>
      </c>
      <c r="U28" s="12">
        <v>348.005</v>
      </c>
      <c r="V28" s="12">
        <v>234.43700000000001</v>
      </c>
      <c r="W28" s="12">
        <v>233.43100000000001</v>
      </c>
      <c r="X28" s="17">
        <v>278.51900000000001</v>
      </c>
    </row>
    <row r="29" spans="1:24">
      <c r="A29" s="11" t="s">
        <v>128</v>
      </c>
      <c r="B29" s="12">
        <v>143.07</v>
      </c>
      <c r="C29" s="12">
        <v>135.185</v>
      </c>
      <c r="D29" s="12">
        <v>167.67500000000001</v>
      </c>
      <c r="E29" s="12">
        <v>179.66399999999999</v>
      </c>
      <c r="F29" s="12">
        <v>114.532</v>
      </c>
      <c r="G29" s="12">
        <v>171.846</v>
      </c>
      <c r="H29" s="12"/>
      <c r="I29" s="12"/>
      <c r="J29" s="12"/>
      <c r="K29" s="17"/>
      <c r="N29" s="11" t="s">
        <v>128</v>
      </c>
      <c r="O29" s="12">
        <v>143.07</v>
      </c>
      <c r="P29" s="12">
        <v>135.185</v>
      </c>
      <c r="Q29" s="12">
        <v>167.67499999999998</v>
      </c>
      <c r="R29" s="12">
        <v>179.66399999999999</v>
      </c>
      <c r="S29" s="12">
        <v>114.532</v>
      </c>
      <c r="T29" s="12">
        <v>171.84549999999999</v>
      </c>
      <c r="U29" s="12"/>
      <c r="V29" s="12"/>
      <c r="W29" s="12"/>
      <c r="X29" s="17"/>
    </row>
    <row r="30" spans="1:24">
      <c r="A30" s="11" t="s">
        <v>110</v>
      </c>
      <c r="B30" s="12">
        <v>119.7</v>
      </c>
      <c r="C30" s="69">
        <v>128.221</v>
      </c>
      <c r="D30" s="12">
        <v>124.518</v>
      </c>
      <c r="E30" s="12">
        <v>127.813</v>
      </c>
      <c r="F30" s="12">
        <v>136.46799999999999</v>
      </c>
      <c r="G30" s="12">
        <v>136.19200000000001</v>
      </c>
      <c r="H30" s="12">
        <v>124.636</v>
      </c>
      <c r="J30" s="12"/>
      <c r="K30" s="17"/>
      <c r="N30" s="11" t="s">
        <v>110</v>
      </c>
      <c r="O30" s="12">
        <v>109.7</v>
      </c>
      <c r="P30" s="12">
        <v>124.63619999999997</v>
      </c>
      <c r="Q30" s="12">
        <v>124.51840000000004</v>
      </c>
      <c r="R30" s="12">
        <v>127.813</v>
      </c>
      <c r="S30" s="12">
        <v>136.4675</v>
      </c>
      <c r="T30" s="12">
        <v>136.19200000000004</v>
      </c>
      <c r="U30" s="12">
        <v>138.221</v>
      </c>
      <c r="V30" s="12"/>
      <c r="W30" s="12"/>
      <c r="X30" s="17"/>
    </row>
    <row r="31" spans="1:24">
      <c r="A31" s="11"/>
      <c r="B31" s="12"/>
      <c r="C31" s="12"/>
      <c r="D31" s="12"/>
      <c r="E31" s="12"/>
      <c r="F31" s="12"/>
      <c r="G31" s="12"/>
      <c r="H31" s="12"/>
      <c r="I31" s="12"/>
      <c r="J31" s="12"/>
      <c r="K31" s="17"/>
      <c r="N31" s="11"/>
      <c r="O31" s="12"/>
      <c r="P31" s="12"/>
      <c r="Q31" s="12"/>
      <c r="R31" s="12"/>
      <c r="S31" s="12"/>
      <c r="T31" s="12"/>
      <c r="U31" s="12"/>
      <c r="V31" s="12"/>
      <c r="W31" s="12"/>
      <c r="X31" s="17"/>
    </row>
    <row r="32" spans="1:24">
      <c r="A32" s="11" t="s">
        <v>132</v>
      </c>
      <c r="B32" s="12"/>
      <c r="C32" s="12"/>
      <c r="D32" s="12"/>
      <c r="E32" s="12"/>
      <c r="F32" s="12"/>
      <c r="G32" s="12"/>
      <c r="H32" s="12"/>
      <c r="I32" s="12"/>
      <c r="J32" s="12"/>
      <c r="K32" s="17"/>
      <c r="N32" s="11" t="s">
        <v>132</v>
      </c>
      <c r="O32" s="12"/>
      <c r="P32" s="12"/>
      <c r="Q32" s="12"/>
      <c r="R32" s="12"/>
      <c r="S32" s="12"/>
      <c r="T32" s="12"/>
      <c r="U32" s="12"/>
      <c r="V32" s="12"/>
      <c r="W32" s="12"/>
      <c r="X32" s="17"/>
    </row>
    <row r="33" spans="1:24">
      <c r="A33" s="11" t="s">
        <v>127</v>
      </c>
      <c r="B33" s="12">
        <v>165.834</v>
      </c>
      <c r="C33" s="12">
        <v>75.076700000000002</v>
      </c>
      <c r="D33" s="12">
        <v>365.51299999999998</v>
      </c>
      <c r="E33" s="12">
        <v>288.8</v>
      </c>
      <c r="F33" s="12">
        <v>365.51249999999999</v>
      </c>
      <c r="G33" s="12">
        <v>475.166</v>
      </c>
      <c r="H33" s="12">
        <v>577.42999999999995</v>
      </c>
      <c r="I33" s="12">
        <v>600.61400000000003</v>
      </c>
      <c r="J33" s="12">
        <v>380.74200000000002</v>
      </c>
      <c r="K33" s="17">
        <v>438.61500000000001</v>
      </c>
      <c r="N33" s="11" t="s">
        <v>127</v>
      </c>
      <c r="O33" s="12">
        <v>257.25</v>
      </c>
      <c r="P33" s="12">
        <v>116.46249999999999</v>
      </c>
      <c r="Q33" s="12">
        <v>567</v>
      </c>
      <c r="R33" s="12">
        <v>448</v>
      </c>
      <c r="S33" s="12">
        <v>567</v>
      </c>
      <c r="T33" s="12">
        <v>737.09999999999991</v>
      </c>
      <c r="U33" s="12">
        <v>895.73679999999979</v>
      </c>
      <c r="V33" s="12">
        <v>931.69999999999993</v>
      </c>
      <c r="W33" s="12">
        <v>590.625</v>
      </c>
      <c r="X33" s="17">
        <v>680.4</v>
      </c>
    </row>
    <row r="34" spans="1:24">
      <c r="A34" s="11" t="s">
        <v>1</v>
      </c>
      <c r="B34" s="12">
        <v>247.10499999999999</v>
      </c>
      <c r="C34" s="12">
        <v>199.001</v>
      </c>
      <c r="D34" s="12">
        <v>243.22399999999999</v>
      </c>
      <c r="E34" s="12">
        <v>190.37100000000001</v>
      </c>
      <c r="F34" s="12">
        <v>210.535</v>
      </c>
      <c r="G34" s="12">
        <v>259.92</v>
      </c>
      <c r="H34" s="12">
        <v>260.94200000000001</v>
      </c>
      <c r="I34" s="12">
        <v>274.54050000000001</v>
      </c>
      <c r="J34" s="12">
        <v>199.001</v>
      </c>
      <c r="K34" s="17">
        <v>266.459</v>
      </c>
      <c r="N34" s="11" t="s">
        <v>1</v>
      </c>
      <c r="O34" s="12">
        <v>383.32</v>
      </c>
      <c r="P34" s="12">
        <v>308.7</v>
      </c>
      <c r="Q34" s="12">
        <v>377.29999999999995</v>
      </c>
      <c r="R34" s="12">
        <v>295.3125</v>
      </c>
      <c r="S34" s="12">
        <v>326.59199999999998</v>
      </c>
      <c r="T34" s="12">
        <v>403.2</v>
      </c>
      <c r="U34" s="12">
        <v>404.7847999999999</v>
      </c>
      <c r="V34" s="12">
        <v>425.87999999999994</v>
      </c>
      <c r="W34" s="12">
        <v>308.7</v>
      </c>
      <c r="X34" s="17">
        <v>413.3429999999999</v>
      </c>
    </row>
    <row r="35" spans="1:24">
      <c r="A35" s="11" t="s">
        <v>2</v>
      </c>
      <c r="B35" s="12">
        <v>288.8</v>
      </c>
      <c r="C35" s="12">
        <v>191.821</v>
      </c>
      <c r="D35" s="12">
        <v>232.16800000000001</v>
      </c>
      <c r="E35" s="12">
        <v>273.07799999999997</v>
      </c>
      <c r="F35" s="12">
        <v>279.77999999999997</v>
      </c>
      <c r="G35" s="12">
        <v>212.268</v>
      </c>
      <c r="H35" s="12">
        <v>259.91999999999996</v>
      </c>
      <c r="I35" s="12">
        <v>288.8</v>
      </c>
      <c r="J35" s="12">
        <v>268.584</v>
      </c>
      <c r="K35" s="17">
        <v>194.93999999999997</v>
      </c>
      <c r="N35" s="11" t="s">
        <v>2</v>
      </c>
      <c r="O35" s="12">
        <v>448</v>
      </c>
      <c r="P35" s="12">
        <v>297.56200000000001</v>
      </c>
      <c r="Q35" s="12">
        <v>360.15</v>
      </c>
      <c r="R35" s="12">
        <v>423.61199999999997</v>
      </c>
      <c r="S35" s="12">
        <v>434.00700000000001</v>
      </c>
      <c r="T35" s="12">
        <v>329.28</v>
      </c>
      <c r="U35" s="12">
        <v>403.2</v>
      </c>
      <c r="V35" s="12">
        <v>448</v>
      </c>
      <c r="W35" s="12">
        <v>416.64</v>
      </c>
      <c r="X35" s="17">
        <v>302.39999999999998</v>
      </c>
    </row>
    <row r="36" spans="1:24">
      <c r="A36" s="11" t="s">
        <v>128</v>
      </c>
      <c r="B36" s="12">
        <v>158.70099999999999</v>
      </c>
      <c r="C36" s="12">
        <v>177.29499999999999</v>
      </c>
      <c r="D36" s="12">
        <v>147.61199999999999</v>
      </c>
      <c r="E36" s="12">
        <v>167.07</v>
      </c>
      <c r="F36" s="12">
        <v>181.88200000000001</v>
      </c>
      <c r="G36" s="12">
        <v>199.126</v>
      </c>
      <c r="H36" s="12"/>
      <c r="I36" s="12"/>
      <c r="J36" s="12"/>
      <c r="K36" s="17"/>
      <c r="N36" s="11" t="s">
        <v>128</v>
      </c>
      <c r="O36" s="12">
        <v>166.25399999999999</v>
      </c>
      <c r="P36" s="12">
        <v>185.73400000000001</v>
      </c>
      <c r="Q36" s="12">
        <v>154.63800000000001</v>
      </c>
      <c r="R36" s="12">
        <v>175.02160000000001</v>
      </c>
      <c r="S36" s="12">
        <v>190.5384</v>
      </c>
      <c r="T36" s="12">
        <v>208.60320000000002</v>
      </c>
      <c r="U36" s="12"/>
      <c r="V36" s="12"/>
      <c r="W36" s="12"/>
      <c r="X36" s="17"/>
    </row>
    <row r="37" spans="1:24">
      <c r="A37" s="11" t="s">
        <v>110</v>
      </c>
      <c r="B37" s="12">
        <v>157.2516</v>
      </c>
      <c r="C37" s="12">
        <v>140.006</v>
      </c>
      <c r="D37" s="12">
        <v>152.054</v>
      </c>
      <c r="E37" s="12">
        <v>153.32</v>
      </c>
      <c r="F37" s="12">
        <v>137.595</v>
      </c>
      <c r="G37" s="12">
        <v>147.423</v>
      </c>
      <c r="H37" s="12">
        <v>162.39400000000001</v>
      </c>
      <c r="I37" s="12"/>
      <c r="J37" s="12"/>
      <c r="K37" s="17"/>
      <c r="N37" s="11" t="s">
        <v>110</v>
      </c>
      <c r="O37" s="12">
        <v>149.76</v>
      </c>
      <c r="P37" s="12">
        <v>145.13407999999998</v>
      </c>
      <c r="Q37" s="12">
        <v>129.81</v>
      </c>
      <c r="R37" s="12">
        <v>146.01599999999999</v>
      </c>
      <c r="S37" s="12">
        <v>138.04</v>
      </c>
      <c r="T37" s="12">
        <v>140.4</v>
      </c>
      <c r="U37" s="69">
        <v>150.86000000000001</v>
      </c>
      <c r="W37" s="12"/>
      <c r="X37" s="17"/>
    </row>
    <row r="38" spans="1:24">
      <c r="A38" s="11"/>
      <c r="B38" s="12"/>
      <c r="C38" s="12"/>
      <c r="D38" s="12"/>
      <c r="E38" s="12"/>
      <c r="F38" s="12"/>
      <c r="G38" s="12"/>
      <c r="H38" s="12"/>
      <c r="I38" s="12"/>
      <c r="J38" s="12"/>
      <c r="K38" s="17"/>
      <c r="N38" s="11"/>
      <c r="O38" s="12"/>
      <c r="P38" s="12"/>
      <c r="Q38" s="12"/>
      <c r="R38" s="12"/>
      <c r="S38" s="12"/>
      <c r="T38" s="12"/>
      <c r="U38" s="12"/>
      <c r="V38" s="12"/>
      <c r="W38" s="12"/>
      <c r="X38" s="17"/>
    </row>
    <row r="39" spans="1:24">
      <c r="A39" s="11" t="s">
        <v>133</v>
      </c>
      <c r="B39" s="12"/>
      <c r="C39" s="12"/>
      <c r="D39" s="12"/>
      <c r="E39" s="12"/>
      <c r="F39" s="12"/>
      <c r="G39" s="12"/>
      <c r="H39" s="12"/>
      <c r="I39" s="12"/>
      <c r="J39" s="12"/>
      <c r="K39" s="17"/>
      <c r="N39" s="11" t="s">
        <v>133</v>
      </c>
      <c r="O39" s="12"/>
      <c r="P39" s="12"/>
      <c r="Q39" s="12"/>
      <c r="R39" s="12"/>
      <c r="S39" s="12"/>
      <c r="T39" s="12"/>
      <c r="U39" s="12"/>
      <c r="V39" s="12"/>
      <c r="W39" s="12"/>
      <c r="X39" s="17"/>
    </row>
    <row r="40" spans="1:24">
      <c r="A40" s="11" t="s">
        <v>127</v>
      </c>
      <c r="B40" s="12">
        <v>646.38</v>
      </c>
      <c r="C40" s="12">
        <v>824.80799999999999</v>
      </c>
      <c r="D40" s="12">
        <v>648.375</v>
      </c>
      <c r="E40" s="12">
        <v>360.34699999999998</v>
      </c>
      <c r="F40" s="12">
        <v>265.78399999999999</v>
      </c>
      <c r="G40" s="12">
        <v>577.36599999999999</v>
      </c>
      <c r="H40" s="12">
        <v>714.83299999999997</v>
      </c>
      <c r="I40" s="12">
        <v>498.75</v>
      </c>
      <c r="J40" s="12">
        <v>498.75</v>
      </c>
      <c r="K40" s="17">
        <v>523.6875</v>
      </c>
      <c r="N40" s="11" t="s">
        <v>127</v>
      </c>
      <c r="O40" s="12">
        <v>907.19999999999993</v>
      </c>
      <c r="P40" s="12">
        <v>1157.625</v>
      </c>
      <c r="Q40" s="12">
        <v>909.99999999999989</v>
      </c>
      <c r="R40" s="12">
        <v>505.74999999999994</v>
      </c>
      <c r="S40" s="12">
        <v>373.03</v>
      </c>
      <c r="T40" s="12">
        <v>810.33749999999998</v>
      </c>
      <c r="U40" s="12">
        <v>1003.275</v>
      </c>
      <c r="V40" s="12">
        <v>700</v>
      </c>
      <c r="W40" s="12">
        <v>700</v>
      </c>
      <c r="X40" s="17">
        <v>735</v>
      </c>
    </row>
    <row r="41" spans="1:24">
      <c r="A41" s="11" t="s">
        <v>1</v>
      </c>
      <c r="B41" s="12">
        <v>332.00599999999997</v>
      </c>
      <c r="C41" s="12">
        <v>308.60199999999998</v>
      </c>
      <c r="D41" s="12">
        <v>263.12599999999998</v>
      </c>
      <c r="E41" s="12">
        <v>308.60199999999998</v>
      </c>
      <c r="F41" s="12">
        <v>377.94799999999998</v>
      </c>
      <c r="G41" s="12">
        <v>246.881</v>
      </c>
      <c r="H41" s="12">
        <v>421.34399999999999</v>
      </c>
      <c r="I41" s="12">
        <v>268.82600000000002</v>
      </c>
      <c r="J41" s="12">
        <v>298.452</v>
      </c>
      <c r="K41" s="17">
        <v>231.45099999999999</v>
      </c>
      <c r="N41" s="11" t="s">
        <v>1</v>
      </c>
      <c r="O41" s="12">
        <v>423.61199999999997</v>
      </c>
      <c r="P41" s="12">
        <v>393.75</v>
      </c>
      <c r="Q41" s="12">
        <v>335.72699999999998</v>
      </c>
      <c r="R41" s="12">
        <v>393.75</v>
      </c>
      <c r="S41" s="12">
        <v>482.23</v>
      </c>
      <c r="T41" s="12">
        <v>315</v>
      </c>
      <c r="U41" s="12">
        <v>537.59999999999991</v>
      </c>
      <c r="V41" s="12">
        <v>343</v>
      </c>
      <c r="W41" s="12">
        <v>380.79999999999995</v>
      </c>
      <c r="X41" s="17">
        <v>295.3125</v>
      </c>
    </row>
    <row r="42" spans="1:24">
      <c r="A42" s="11" t="s">
        <v>2</v>
      </c>
      <c r="B42" s="12">
        <v>347.60899999999998</v>
      </c>
      <c r="C42" s="12">
        <v>231.45099999999999</v>
      </c>
      <c r="D42" s="12">
        <v>479.93700000000001</v>
      </c>
      <c r="E42" s="12">
        <v>277.74099999999999</v>
      </c>
      <c r="F42" s="12">
        <v>68.578000000000003</v>
      </c>
      <c r="G42" s="12">
        <v>422.16699999999997</v>
      </c>
      <c r="H42" s="12">
        <v>562.65899999999999</v>
      </c>
      <c r="I42" s="12">
        <v>356.74299999999999</v>
      </c>
      <c r="J42" s="12">
        <v>156.874</v>
      </c>
      <c r="K42" s="17">
        <v>118.503</v>
      </c>
      <c r="N42" s="11" t="s">
        <v>2</v>
      </c>
      <c r="O42" s="12">
        <v>443.52</v>
      </c>
      <c r="P42" s="12">
        <v>295.3125</v>
      </c>
      <c r="Q42" s="12">
        <v>612.36</v>
      </c>
      <c r="R42" s="12">
        <v>354.375</v>
      </c>
      <c r="S42" s="12">
        <v>87.5</v>
      </c>
      <c r="T42" s="12">
        <v>538.65</v>
      </c>
      <c r="U42" s="12">
        <v>717.90669999999989</v>
      </c>
      <c r="V42" s="12">
        <v>455.17499999999995</v>
      </c>
      <c r="W42" s="12">
        <v>200.15799999999999</v>
      </c>
      <c r="X42" s="17">
        <v>151.19999999999999</v>
      </c>
    </row>
    <row r="43" spans="1:24">
      <c r="A43" s="11" t="s">
        <v>128</v>
      </c>
      <c r="B43" s="12">
        <v>215.55799999999999</v>
      </c>
      <c r="C43" s="12">
        <v>227.601</v>
      </c>
      <c r="D43" s="12">
        <v>203.57300000000001</v>
      </c>
      <c r="E43" s="12">
        <v>181.46600000000001</v>
      </c>
      <c r="F43" s="12">
        <v>210.64599999999999</v>
      </c>
      <c r="G43" s="12">
        <v>288.48399999999998</v>
      </c>
      <c r="H43" s="12"/>
      <c r="I43" s="12"/>
      <c r="J43" s="12"/>
      <c r="K43" s="17"/>
      <c r="N43" s="11" t="s">
        <v>128</v>
      </c>
      <c r="O43" s="12">
        <v>180.08199999999999</v>
      </c>
      <c r="P43" s="12">
        <v>190.14250000000001</v>
      </c>
      <c r="Q43" s="12">
        <v>170.06899999999999</v>
      </c>
      <c r="R43" s="12">
        <v>151.601</v>
      </c>
      <c r="S43" s="12">
        <v>175.97800000000001</v>
      </c>
      <c r="T43" s="12">
        <v>241.006</v>
      </c>
      <c r="U43" s="12"/>
      <c r="V43" s="12"/>
      <c r="W43" s="12"/>
      <c r="X43" s="17"/>
    </row>
    <row r="44" spans="1:24">
      <c r="A44" s="11" t="s">
        <v>110</v>
      </c>
      <c r="B44" s="12">
        <v>136.11699999999999</v>
      </c>
      <c r="C44" s="12">
        <v>146.28200000000001</v>
      </c>
      <c r="D44" s="12">
        <v>164.363</v>
      </c>
      <c r="E44" s="12">
        <v>188.06700000000001</v>
      </c>
      <c r="F44" s="12">
        <v>164.363</v>
      </c>
      <c r="G44" s="12">
        <v>177.006</v>
      </c>
      <c r="H44" s="12">
        <v>186.03299999999999</v>
      </c>
      <c r="I44" s="12"/>
      <c r="J44" s="12"/>
      <c r="K44" s="17"/>
      <c r="N44" s="11" t="s">
        <v>110</v>
      </c>
      <c r="O44" s="12">
        <v>96.658000000000001</v>
      </c>
      <c r="P44" s="12">
        <v>118.078</v>
      </c>
      <c r="Q44" s="12">
        <v>117.901</v>
      </c>
      <c r="R44" s="12">
        <v>133.54499999999999</v>
      </c>
      <c r="S44" s="12">
        <v>116.71599999999999</v>
      </c>
      <c r="T44" s="12">
        <v>125.694</v>
      </c>
      <c r="U44" s="12">
        <v>116.71599999999999</v>
      </c>
      <c r="W44" s="12"/>
      <c r="X44" s="17"/>
    </row>
    <row r="45" spans="1:24">
      <c r="A45" s="11"/>
      <c r="B45" s="12"/>
      <c r="C45" s="12"/>
      <c r="D45" s="12"/>
      <c r="E45" s="12"/>
      <c r="F45" s="12"/>
      <c r="G45" s="12"/>
      <c r="H45" s="12"/>
      <c r="I45" s="12"/>
      <c r="J45" s="12"/>
      <c r="K45" s="17"/>
      <c r="N45" s="11"/>
      <c r="O45" s="12"/>
      <c r="P45" s="12"/>
      <c r="Q45" s="12"/>
      <c r="R45" s="12"/>
      <c r="S45" s="12"/>
      <c r="T45" s="12"/>
      <c r="U45" s="12"/>
      <c r="V45" s="12"/>
      <c r="W45" s="12"/>
      <c r="X45" s="17"/>
    </row>
    <row r="46" spans="1:24">
      <c r="A46" s="11" t="s">
        <v>134</v>
      </c>
      <c r="B46" s="12"/>
      <c r="C46" s="12"/>
      <c r="D46" s="12"/>
      <c r="E46" s="12"/>
      <c r="F46" s="12"/>
      <c r="G46" s="12"/>
      <c r="H46" s="12"/>
      <c r="I46" s="12"/>
      <c r="J46" s="12"/>
      <c r="K46" s="17"/>
      <c r="N46" s="11" t="s">
        <v>134</v>
      </c>
      <c r="O46" s="12"/>
      <c r="P46" s="12"/>
      <c r="Q46" s="12"/>
      <c r="R46" s="12"/>
      <c r="S46" s="12"/>
      <c r="T46" s="12"/>
      <c r="U46" s="12"/>
      <c r="V46" s="12"/>
      <c r="W46" s="12"/>
      <c r="X46" s="17"/>
    </row>
    <row r="47" spans="1:24">
      <c r="A47" s="11" t="s">
        <v>127</v>
      </c>
      <c r="B47" s="12">
        <v>584.25</v>
      </c>
      <c r="C47" s="12">
        <v>849.13850000000014</v>
      </c>
      <c r="D47" s="12">
        <v>902.35749999999985</v>
      </c>
      <c r="E47" s="12">
        <v>862.125</v>
      </c>
      <c r="F47" s="12">
        <v>816.64374999999995</v>
      </c>
      <c r="G47" s="12">
        <v>855</v>
      </c>
      <c r="H47" s="12">
        <v>617.5</v>
      </c>
      <c r="I47" s="12">
        <v>924.50674999999978</v>
      </c>
      <c r="J47" s="12">
        <v>889.2</v>
      </c>
      <c r="K47" s="17">
        <v>775.91249999999991</v>
      </c>
      <c r="N47" s="11" t="s">
        <v>127</v>
      </c>
      <c r="O47" s="12">
        <v>861</v>
      </c>
      <c r="P47" s="12">
        <v>1251.3620000000001</v>
      </c>
      <c r="Q47" s="12">
        <v>1329.79</v>
      </c>
      <c r="R47" s="12">
        <v>1270.5</v>
      </c>
      <c r="S47" s="12">
        <v>1203.4749999999999</v>
      </c>
      <c r="T47" s="12">
        <v>1260</v>
      </c>
      <c r="U47" s="12">
        <v>909.99999999999977</v>
      </c>
      <c r="V47" s="12">
        <v>1362.4309999999996</v>
      </c>
      <c r="W47" s="12">
        <v>1310.3999999999996</v>
      </c>
      <c r="X47" s="17">
        <v>1143.45</v>
      </c>
    </row>
    <row r="48" spans="1:24">
      <c r="A48" s="11" t="s">
        <v>1</v>
      </c>
      <c r="B48" s="12">
        <v>463.53699999999998</v>
      </c>
      <c r="C48" s="12">
        <v>476.721</v>
      </c>
      <c r="D48" s="12">
        <v>217.749</v>
      </c>
      <c r="E48" s="12">
        <v>334.4</v>
      </c>
      <c r="F48" s="12">
        <v>203.261</v>
      </c>
      <c r="G48" s="12">
        <v>331.976</v>
      </c>
      <c r="H48" s="12">
        <v>187.643</v>
      </c>
      <c r="I48" s="12">
        <v>380.90300000000002</v>
      </c>
      <c r="J48" s="12">
        <v>307.23</v>
      </c>
      <c r="K48" s="17">
        <v>309.68799999999999</v>
      </c>
      <c r="N48" s="11" t="s">
        <v>1</v>
      </c>
      <c r="O48" s="12">
        <v>621.00599999999997</v>
      </c>
      <c r="P48" s="12">
        <v>638.66899999999998</v>
      </c>
      <c r="Q48" s="12">
        <v>291.72199999999998</v>
      </c>
      <c r="R48" s="12">
        <v>448</v>
      </c>
      <c r="S48" s="12">
        <v>272.31200000000001</v>
      </c>
      <c r="T48" s="12">
        <v>444.75200000000001</v>
      </c>
      <c r="U48" s="12">
        <v>251.38800000000001</v>
      </c>
      <c r="V48" s="12">
        <v>510.3</v>
      </c>
      <c r="W48" s="12">
        <v>411.6</v>
      </c>
      <c r="X48" s="17">
        <v>414.89299999999997</v>
      </c>
    </row>
    <row r="49" spans="1:24">
      <c r="A49" s="11" t="s">
        <v>2</v>
      </c>
      <c r="B49" s="12">
        <v>465.548</v>
      </c>
      <c r="C49" s="69">
        <v>342.334</v>
      </c>
      <c r="D49" s="12">
        <v>358.63099999999997</v>
      </c>
      <c r="E49" s="12">
        <v>405.76299999999998</v>
      </c>
      <c r="F49" s="12">
        <v>288.02800000000002</v>
      </c>
      <c r="G49" s="12">
        <v>380.90300000000002</v>
      </c>
      <c r="H49" s="12">
        <v>300.95999999999998</v>
      </c>
      <c r="I49" s="12">
        <v>270.20600000000002</v>
      </c>
      <c r="J49" s="12">
        <v>276.56299999999999</v>
      </c>
      <c r="K49" s="70">
        <v>334.4</v>
      </c>
      <c r="N49" s="11" t="s">
        <v>2</v>
      </c>
      <c r="O49" s="12">
        <v>623.70000000000005</v>
      </c>
      <c r="P49" s="12">
        <v>448</v>
      </c>
      <c r="Q49" s="12">
        <v>480.46249999999998</v>
      </c>
      <c r="R49" s="12">
        <v>543.60599999999988</v>
      </c>
      <c r="S49">
        <v>458.62900000000002</v>
      </c>
      <c r="T49" s="12">
        <v>510.29999999999995</v>
      </c>
      <c r="U49" s="12">
        <v>403.2</v>
      </c>
      <c r="V49" s="12">
        <v>361.99799999999999</v>
      </c>
      <c r="W49" s="12">
        <v>370.51600000000002</v>
      </c>
      <c r="X49" s="12">
        <v>385.875</v>
      </c>
    </row>
    <row r="50" spans="1:24">
      <c r="A50" s="11" t="s">
        <v>128</v>
      </c>
      <c r="B50" s="12">
        <v>257.41300000000001</v>
      </c>
      <c r="C50" s="12">
        <v>219.09200000000001</v>
      </c>
      <c r="D50" s="12">
        <v>218.42500000000001</v>
      </c>
      <c r="E50" s="12">
        <v>226.613</v>
      </c>
      <c r="F50" s="12">
        <v>163.80099999999999</v>
      </c>
      <c r="G50" s="12">
        <v>265.32400000000001</v>
      </c>
      <c r="H50" s="12"/>
      <c r="I50" s="12"/>
      <c r="J50" s="12"/>
      <c r="K50" s="70"/>
      <c r="N50" s="11" t="s">
        <v>128</v>
      </c>
      <c r="O50" s="12">
        <v>215.86</v>
      </c>
      <c r="P50" s="12">
        <v>183.72499999999999</v>
      </c>
      <c r="Q50" s="12">
        <v>183.16499999999999</v>
      </c>
      <c r="R50" s="12">
        <v>190.03100000000001</v>
      </c>
      <c r="S50" s="12">
        <v>137.35900000000001</v>
      </c>
      <c r="T50" s="12">
        <v>222.49299999999999</v>
      </c>
      <c r="U50" s="12"/>
      <c r="V50" s="12"/>
      <c r="W50" s="12"/>
      <c r="X50" s="17"/>
    </row>
    <row r="51" spans="1:24" ht="15.75" thickBot="1">
      <c r="A51" s="21" t="s">
        <v>110</v>
      </c>
      <c r="B51" s="22">
        <v>171.547</v>
      </c>
      <c r="C51" s="22">
        <v>168.71299999999999</v>
      </c>
      <c r="D51" s="22">
        <v>182.99100000000001</v>
      </c>
      <c r="E51" s="22">
        <v>132.767</v>
      </c>
      <c r="F51" s="22">
        <v>180.21299999999999</v>
      </c>
      <c r="G51" s="22">
        <v>158.00399999999999</v>
      </c>
      <c r="H51" s="22">
        <v>208.45</v>
      </c>
      <c r="I51" s="22"/>
      <c r="J51" s="22"/>
      <c r="K51" s="36"/>
      <c r="N51" s="21" t="s">
        <v>110</v>
      </c>
      <c r="O51" s="22">
        <v>117.84</v>
      </c>
      <c r="P51" s="22">
        <v>115.893</v>
      </c>
      <c r="Q51" s="22">
        <v>125.70099999999999</v>
      </c>
      <c r="R51" s="22">
        <v>91.200999999999993</v>
      </c>
      <c r="S51" s="22">
        <v>104.53700000000001</v>
      </c>
      <c r="T51" s="22">
        <v>112.53700000000001</v>
      </c>
      <c r="U51" s="22">
        <v>149.36699999999999</v>
      </c>
      <c r="V51" s="22"/>
      <c r="W51" s="22"/>
      <c r="X51" s="36"/>
    </row>
    <row r="54" spans="1:24">
      <c r="A54" t="s">
        <v>135</v>
      </c>
    </row>
    <row r="55" spans="1:24">
      <c r="A55" t="s">
        <v>137</v>
      </c>
      <c r="B55">
        <f>_xlfn.T.TEST(B47:K47,O47:X47,2,2)</f>
        <v>1.6934926218829512E-5</v>
      </c>
    </row>
    <row r="56" spans="1:24">
      <c r="A56" t="s">
        <v>136</v>
      </c>
      <c r="B56">
        <f>_xlfn.T.TEST(B48:K48,B47:K47,2,2)</f>
        <v>9.4441332472827584E-9</v>
      </c>
    </row>
    <row r="57" spans="1:24">
      <c r="A57" t="s">
        <v>517</v>
      </c>
      <c r="B57">
        <f>_xlfn.T.TEST(O47:X47,O48:X48,2,2)</f>
        <v>2.096532487039146E-9</v>
      </c>
    </row>
    <row r="58" spans="1:24">
      <c r="A58" t="s">
        <v>138</v>
      </c>
      <c r="B58">
        <f>_xlfn.T.TEST(O48:X48,O51:X51,2,2)</f>
        <v>2.1749579496115524E-5</v>
      </c>
    </row>
    <row r="59" spans="1:24">
      <c r="A59" t="s">
        <v>139</v>
      </c>
      <c r="B59">
        <f>_xlfn.T.TEST(O49:X49,O51:X51,2,2)</f>
        <v>2.5339985113441044E-8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Dataset EV1 Legend</vt:lpstr>
      <vt:lpstr>Fig 1E</vt:lpstr>
      <vt:lpstr>Fig 1G</vt:lpstr>
      <vt:lpstr>Fig 4B</vt:lpstr>
      <vt:lpstr>Fig 4C</vt:lpstr>
      <vt:lpstr>Fig 4E</vt:lpstr>
      <vt:lpstr>Fig 4F</vt:lpstr>
      <vt:lpstr>Fig 4G</vt:lpstr>
      <vt:lpstr>Fig 5C</vt:lpstr>
      <vt:lpstr>Fig 5E</vt:lpstr>
      <vt:lpstr>Fig 6D</vt:lpstr>
      <vt:lpstr>Fig 6F</vt:lpstr>
      <vt:lpstr>Fig 7B</vt:lpstr>
      <vt:lpstr>Fig 7C</vt:lpstr>
      <vt:lpstr>Fig 7E</vt:lpstr>
      <vt:lpstr>Fig 7H</vt:lpstr>
      <vt:lpstr>Fig EV1E</vt:lpstr>
      <vt:lpstr>Fig EV2A</vt:lpstr>
      <vt:lpstr>Fig EV2B</vt:lpstr>
      <vt:lpstr>Fig EV4B</vt:lpstr>
      <vt:lpstr>Fig EV4D</vt:lpstr>
      <vt:lpstr>Fig EV5D</vt:lpstr>
      <vt:lpstr>Fig EV5G</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2019-08-23T15:26:22Z</dcterms:modified>
</cp:coreProperties>
</file>