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172E4E1F-E5EF-0DF4-AAB5-FFAA808CBF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D Documents\Work\Julkaisut\REE Kirja\Final chapters\Electronic materials\Chapter 5\"/>
    </mc:Choice>
  </mc:AlternateContent>
  <xr:revisionPtr revIDLastSave="0" documentId="13_ncr:1_{9882366F-AA3C-42DA-9FED-AC0D09E5DAB8}" xr6:coauthVersionLast="47" xr6:coauthVersionMax="47" xr10:uidLastSave="{00000000-0000-0000-0000-000000000000}"/>
  <bookViews>
    <workbookView xWindow="-110" yWindow="-110" windowWidth="19420" windowHeight="11620" tabRatio="770" xr2:uid="{D5DD08E7-0494-45A4-9C20-6536A30944F3}"/>
  </bookViews>
  <sheets>
    <sheet name="Airfoil data" sheetId="2" r:id="rId1"/>
    <sheet name="Design.Betz 1 m, Example 5.3" sheetId="1" r:id="rId2"/>
    <sheet name="Design.Wake rotation 1 m. 5.4" sheetId="3" r:id="rId3"/>
    <sheet name="Design.Wake rotation 15 MW, 5.5" sheetId="4" r:id="rId4"/>
  </sheets>
  <functionGroups builtInGroupCount="19"/>
  <definedNames>
    <definedName name="solver_adj" localSheetId="3" hidden="1">'Design.Wake rotation 15 MW, 5.5'!$B$42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0</definedName>
    <definedName name="solver_nwt" localSheetId="3" hidden="1">1</definedName>
    <definedName name="solver_opt" localSheetId="3" hidden="1">'Design.Wake rotation 15 MW, 5.5'!$B$46</definedName>
    <definedName name="solver_pre" localSheetId="3" hidden="1">0.000001</definedName>
    <definedName name="solver_rbv" localSheetId="3" hidden="1">1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3</definedName>
    <definedName name="solver_val" localSheetId="3" hidden="1">9</definedName>
    <definedName name="solver_ver" localSheetId="3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9" i="1" l="1"/>
  <c r="I50" i="1"/>
  <c r="I51" i="1"/>
  <c r="I52" i="1"/>
  <c r="I53" i="1"/>
  <c r="I54" i="1"/>
  <c r="I55" i="1"/>
  <c r="I56" i="1"/>
  <c r="I57" i="1"/>
  <c r="J48" i="1"/>
  <c r="C48" i="1"/>
  <c r="D48" i="1" s="1"/>
  <c r="I59" i="1"/>
  <c r="F51" i="1"/>
  <c r="F54" i="1"/>
  <c r="F57" i="1"/>
  <c r="E51" i="1"/>
  <c r="E55" i="1"/>
  <c r="E56" i="1"/>
  <c r="E57" i="1"/>
  <c r="C57" i="1"/>
  <c r="D57" i="1" s="1"/>
  <c r="A57" i="1"/>
  <c r="D56" i="1"/>
  <c r="F56" i="1" s="1"/>
  <c r="C56" i="1"/>
  <c r="A56" i="1"/>
  <c r="C55" i="1"/>
  <c r="D55" i="1" s="1"/>
  <c r="F55" i="1" s="1"/>
  <c r="A55" i="1"/>
  <c r="D54" i="1"/>
  <c r="C54" i="1"/>
  <c r="A54" i="1"/>
  <c r="E54" i="1" s="1"/>
  <c r="C53" i="1"/>
  <c r="D53" i="1" s="1"/>
  <c r="A53" i="1"/>
  <c r="E53" i="1" s="1"/>
  <c r="C52" i="1"/>
  <c r="D52" i="1" s="1"/>
  <c r="A52" i="1"/>
  <c r="C51" i="1"/>
  <c r="D51" i="1" s="1"/>
  <c r="A51" i="1"/>
  <c r="C50" i="1"/>
  <c r="D50" i="1" s="1"/>
  <c r="A50" i="1"/>
  <c r="B42" i="1" s="1"/>
  <c r="C49" i="1"/>
  <c r="D49" i="1" s="1"/>
  <c r="A49" i="1"/>
  <c r="E49" i="1" s="1"/>
  <c r="A48" i="1"/>
  <c r="E48" i="1" s="1"/>
  <c r="B44" i="1"/>
  <c r="B38" i="1"/>
  <c r="B17" i="1"/>
  <c r="C21" i="1"/>
  <c r="D21" i="1" s="1"/>
  <c r="I32" i="1"/>
  <c r="F21" i="1" l="1"/>
  <c r="F52" i="1"/>
  <c r="E52" i="1"/>
  <c r="G50" i="1"/>
  <c r="F50" i="1"/>
  <c r="G48" i="1"/>
  <c r="F48" i="1"/>
  <c r="F53" i="1"/>
  <c r="F49" i="1"/>
  <c r="E50" i="1"/>
  <c r="G49" i="1"/>
  <c r="G51" i="1"/>
  <c r="G53" i="1"/>
  <c r="G55" i="1"/>
  <c r="G57" i="1"/>
  <c r="G54" i="1"/>
  <c r="G52" i="1"/>
  <c r="G56" i="1"/>
  <c r="G21" i="1"/>
  <c r="C22" i="1"/>
  <c r="C23" i="1"/>
  <c r="C24" i="1"/>
  <c r="C25" i="1"/>
  <c r="C26" i="1"/>
  <c r="C27" i="1"/>
  <c r="C28" i="1"/>
  <c r="C29" i="1"/>
  <c r="C30" i="1"/>
  <c r="F75" i="4"/>
  <c r="T88" i="4"/>
  <c r="T85" i="4"/>
  <c r="S92" i="4"/>
  <c r="S93" i="4" s="1"/>
  <c r="AA18" i="4"/>
  <c r="Z18" i="4"/>
  <c r="Y18" i="4"/>
  <c r="X18" i="4"/>
  <c r="W18" i="4"/>
  <c r="V18" i="4"/>
  <c r="P9" i="4"/>
  <c r="O9" i="4"/>
  <c r="N29" i="4"/>
  <c r="O29" i="4"/>
  <c r="P29" i="4"/>
  <c r="N30" i="4"/>
  <c r="O30" i="4"/>
  <c r="P30" i="4"/>
  <c r="N31" i="4"/>
  <c r="O31" i="4"/>
  <c r="P31" i="4"/>
  <c r="N32" i="4"/>
  <c r="O32" i="4"/>
  <c r="P32" i="4"/>
  <c r="N33" i="4"/>
  <c r="O33" i="4"/>
  <c r="P33" i="4"/>
  <c r="N34" i="4"/>
  <c r="O34" i="4"/>
  <c r="P34" i="4"/>
  <c r="N35" i="4"/>
  <c r="O35" i="4"/>
  <c r="P35" i="4"/>
  <c r="N36" i="4"/>
  <c r="O36" i="4"/>
  <c r="P36" i="4"/>
  <c r="N37" i="4"/>
  <c r="O37" i="4"/>
  <c r="P37" i="4"/>
  <c r="N38" i="4"/>
  <c r="O38" i="4"/>
  <c r="P38" i="4"/>
  <c r="O4" i="4"/>
  <c r="P4" i="4"/>
  <c r="B3" i="4"/>
  <c r="B5" i="4" s="1"/>
  <c r="S94" i="4" l="1"/>
  <c r="Q9" i="4"/>
  <c r="Q4" i="4"/>
  <c r="B43" i="4"/>
  <c r="P5" i="4"/>
  <c r="P6" i="4"/>
  <c r="P7" i="4"/>
  <c r="O5" i="4"/>
  <c r="O6" i="4"/>
  <c r="O7" i="4"/>
  <c r="N19" i="4"/>
  <c r="N20" i="4"/>
  <c r="O20" i="4"/>
  <c r="P20" i="4"/>
  <c r="N21" i="4"/>
  <c r="O21" i="4"/>
  <c r="P21" i="4"/>
  <c r="N22" i="4"/>
  <c r="O22" i="4"/>
  <c r="P22" i="4"/>
  <c r="N23" i="4"/>
  <c r="O23" i="4"/>
  <c r="P23" i="4"/>
  <c r="N24" i="4"/>
  <c r="O24" i="4"/>
  <c r="P24" i="4"/>
  <c r="N25" i="4"/>
  <c r="O25" i="4"/>
  <c r="P25" i="4"/>
  <c r="N26" i="4"/>
  <c r="O26" i="4"/>
  <c r="P26" i="4"/>
  <c r="N27" i="4"/>
  <c r="O27" i="4"/>
  <c r="P27" i="4"/>
  <c r="N28" i="4"/>
  <c r="O28" i="4"/>
  <c r="P28" i="4"/>
  <c r="O19" i="4"/>
  <c r="P19" i="4"/>
  <c r="I6" i="4"/>
  <c r="J6" i="4"/>
  <c r="P14" i="3"/>
  <c r="K6" i="4"/>
  <c r="B8" i="4"/>
  <c r="B6" i="4"/>
  <c r="T91" i="4" s="1"/>
  <c r="U91" i="4" s="1"/>
  <c r="V91" i="4" s="1"/>
  <c r="I7" i="4"/>
  <c r="J7" i="4"/>
  <c r="K7" i="4"/>
  <c r="I8" i="4"/>
  <c r="J8" i="4"/>
  <c r="K8" i="4"/>
  <c r="I9" i="4"/>
  <c r="J9" i="4"/>
  <c r="K9" i="4"/>
  <c r="B12" i="4"/>
  <c r="R14" i="3"/>
  <c r="Q37" i="3"/>
  <c r="B11" i="3"/>
  <c r="B10" i="3"/>
  <c r="P15" i="3"/>
  <c r="Q15" i="3"/>
  <c r="R15" i="3"/>
  <c r="P16" i="3"/>
  <c r="Q16" i="3"/>
  <c r="R16" i="3"/>
  <c r="P17" i="3"/>
  <c r="Q17" i="3"/>
  <c r="R17" i="3"/>
  <c r="P18" i="3"/>
  <c r="Q18" i="3"/>
  <c r="R18" i="3"/>
  <c r="Q14" i="3"/>
  <c r="B13" i="3"/>
  <c r="B16" i="3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B11" i="1"/>
  <c r="H50" i="1" s="1"/>
  <c r="H57" i="1" l="1"/>
  <c r="H55" i="1"/>
  <c r="H53" i="1"/>
  <c r="H48" i="1"/>
  <c r="H54" i="1"/>
  <c r="H52" i="1"/>
  <c r="H49" i="1"/>
  <c r="H51" i="1"/>
  <c r="H56" i="1"/>
  <c r="T93" i="4"/>
  <c r="U93" i="4" s="1"/>
  <c r="V93" i="4" s="1"/>
  <c r="T92" i="4"/>
  <c r="U92" i="4" s="1"/>
  <c r="V92" i="4" s="1"/>
  <c r="T94" i="4"/>
  <c r="U94" i="4" s="1"/>
  <c r="V94" i="4" s="1"/>
  <c r="S95" i="4"/>
  <c r="Q5" i="4"/>
  <c r="R42" i="4"/>
  <c r="B16" i="4"/>
  <c r="Q7" i="4"/>
  <c r="Q6" i="4"/>
  <c r="B9" i="4"/>
  <c r="B44" i="4"/>
  <c r="B46" i="4" s="1"/>
  <c r="B11" i="4"/>
  <c r="B14" i="4"/>
  <c r="B18" i="3"/>
  <c r="A23" i="3" s="1"/>
  <c r="A24" i="3" s="1"/>
  <c r="B15" i="3"/>
  <c r="T95" i="4" l="1"/>
  <c r="U95" i="4" s="1"/>
  <c r="V95" i="4" s="1"/>
  <c r="S96" i="4"/>
  <c r="A19" i="4"/>
  <c r="V19" i="4" s="1"/>
  <c r="A54" i="4"/>
  <c r="B54" i="4" s="1"/>
  <c r="B23" i="3"/>
  <c r="C23" i="3" s="1"/>
  <c r="A25" i="3"/>
  <c r="B24" i="3"/>
  <c r="C24" i="3" s="1"/>
  <c r="D24" i="3" s="1"/>
  <c r="I24" i="3" s="1"/>
  <c r="T96" i="4" l="1"/>
  <c r="U96" i="4" s="1"/>
  <c r="V96" i="4" s="1"/>
  <c r="S97" i="4"/>
  <c r="B19" i="4"/>
  <c r="A20" i="4"/>
  <c r="C54" i="4"/>
  <c r="H54" i="4" s="1"/>
  <c r="A55" i="4"/>
  <c r="A56" i="4" s="1"/>
  <c r="D23" i="3"/>
  <c r="H23" i="3" s="1"/>
  <c r="J23" i="3" s="1"/>
  <c r="H24" i="3"/>
  <c r="J24" i="3" s="1"/>
  <c r="L24" i="3" s="1"/>
  <c r="M24" i="3" s="1"/>
  <c r="P24" i="3" s="1"/>
  <c r="A26" i="3"/>
  <c r="B25" i="3"/>
  <c r="C25" i="3" s="1"/>
  <c r="D25" i="3" s="1"/>
  <c r="I25" i="3" s="1"/>
  <c r="I54" i="4" a="1"/>
  <c r="J54" i="4" a="1"/>
  <c r="T97" i="4" l="1"/>
  <c r="U97" i="4" s="1"/>
  <c r="V97" i="4" s="1"/>
  <c r="S98" i="4"/>
  <c r="B20" i="4"/>
  <c r="V20" i="4"/>
  <c r="C19" i="4"/>
  <c r="X19" i="4" s="1"/>
  <c r="W19" i="4"/>
  <c r="J54" i="4"/>
  <c r="I54" i="4"/>
  <c r="B56" i="4"/>
  <c r="A57" i="4"/>
  <c r="A21" i="4"/>
  <c r="B55" i="4"/>
  <c r="C55" i="4" s="1"/>
  <c r="I23" i="3"/>
  <c r="H25" i="3"/>
  <c r="J25" i="3" s="1"/>
  <c r="L25" i="3" s="1"/>
  <c r="M25" i="3" s="1"/>
  <c r="L23" i="3"/>
  <c r="K23" i="3"/>
  <c r="K24" i="3"/>
  <c r="O24" i="3"/>
  <c r="N24" i="3"/>
  <c r="A27" i="3"/>
  <c r="B26" i="3"/>
  <c r="C26" i="3" s="1"/>
  <c r="D26" i="3" s="1"/>
  <c r="I26" i="3" s="1"/>
  <c r="T98" i="4" l="1"/>
  <c r="U98" i="4" s="1"/>
  <c r="V98" i="4" s="1"/>
  <c r="S99" i="4"/>
  <c r="D19" i="4"/>
  <c r="Y19" i="4" s="1"/>
  <c r="A22" i="4"/>
  <c r="V22" i="4" s="1"/>
  <c r="V21" i="4"/>
  <c r="C20" i="4"/>
  <c r="W20" i="4"/>
  <c r="H55" i="4"/>
  <c r="B57" i="4"/>
  <c r="C57" i="4" s="1"/>
  <c r="A58" i="4"/>
  <c r="C56" i="4"/>
  <c r="B21" i="4"/>
  <c r="Q24" i="3"/>
  <c r="R24" i="3" s="1"/>
  <c r="S24" i="3"/>
  <c r="K25" i="3"/>
  <c r="H26" i="3"/>
  <c r="J26" i="3" s="1"/>
  <c r="K26" i="3" s="1"/>
  <c r="A28" i="3"/>
  <c r="B27" i="3"/>
  <c r="C27" i="3" s="1"/>
  <c r="D27" i="3" s="1"/>
  <c r="I27" i="3" s="1"/>
  <c r="P25" i="3"/>
  <c r="N25" i="3"/>
  <c r="O25" i="3"/>
  <c r="J55" i="4" a="1"/>
  <c r="I55" i="4" a="1"/>
  <c r="T99" i="4" l="1"/>
  <c r="U99" i="4" s="1"/>
  <c r="V99" i="4" s="1"/>
  <c r="S100" i="4"/>
  <c r="A23" i="4"/>
  <c r="V23" i="4" s="1"/>
  <c r="H19" i="4"/>
  <c r="J19" i="4" s="1"/>
  <c r="C21" i="4"/>
  <c r="D21" i="4" s="1"/>
  <c r="W21" i="4"/>
  <c r="X20" i="4"/>
  <c r="D20" i="4"/>
  <c r="B22" i="4"/>
  <c r="I19" i="4"/>
  <c r="L54" i="4" s="1"/>
  <c r="M54" i="4" s="1"/>
  <c r="N54" i="4" s="1"/>
  <c r="J55" i="4"/>
  <c r="I55" i="4"/>
  <c r="H57" i="4"/>
  <c r="H56" i="4"/>
  <c r="A59" i="4"/>
  <c r="B58" i="4"/>
  <c r="S25" i="3"/>
  <c r="Q25" i="3"/>
  <c r="R25" i="3" s="1"/>
  <c r="H27" i="3"/>
  <c r="J27" i="3" s="1"/>
  <c r="L27" i="3" s="1"/>
  <c r="M27" i="3" s="1"/>
  <c r="L26" i="3"/>
  <c r="M26" i="3" s="1"/>
  <c r="O26" i="3" s="1"/>
  <c r="A29" i="3"/>
  <c r="B28" i="3"/>
  <c r="C28" i="3" s="1"/>
  <c r="D28" i="3" s="1"/>
  <c r="I28" i="3" s="1"/>
  <c r="I57" i="4" a="1"/>
  <c r="J57" i="4" a="1"/>
  <c r="I56" i="4" a="1"/>
  <c r="J56" i="4" a="1"/>
  <c r="B23" i="4" l="1"/>
  <c r="C23" i="4" s="1"/>
  <c r="A24" i="4"/>
  <c r="V24" i="4" s="1"/>
  <c r="T100" i="4"/>
  <c r="U100" i="4" s="1"/>
  <c r="V100" i="4" s="1"/>
  <c r="S101" i="4"/>
  <c r="X21" i="4"/>
  <c r="AA19" i="4"/>
  <c r="K19" i="4"/>
  <c r="Q19" i="4"/>
  <c r="R19" i="4" s="1"/>
  <c r="C22" i="4"/>
  <c r="W22" i="4"/>
  <c r="I20" i="4"/>
  <c r="Y20" i="4"/>
  <c r="H20" i="4"/>
  <c r="AA20" i="4" s="1"/>
  <c r="Z19" i="4"/>
  <c r="L19" i="4"/>
  <c r="M19" i="4" s="1"/>
  <c r="O54" i="4"/>
  <c r="H21" i="4"/>
  <c r="AA21" i="4" s="1"/>
  <c r="Y21" i="4"/>
  <c r="I21" i="4"/>
  <c r="J56" i="4"/>
  <c r="I56" i="4"/>
  <c r="J57" i="4"/>
  <c r="I57" i="4"/>
  <c r="C58" i="4"/>
  <c r="A60" i="4"/>
  <c r="B59" i="4"/>
  <c r="C59" i="4" s="1"/>
  <c r="S19" i="4"/>
  <c r="P26" i="3"/>
  <c r="S26" i="3" s="1"/>
  <c r="K27" i="3"/>
  <c r="N26" i="3"/>
  <c r="H28" i="3"/>
  <c r="J28" i="3" s="1"/>
  <c r="L28" i="3" s="1"/>
  <c r="M28" i="3" s="1"/>
  <c r="B29" i="3"/>
  <c r="C29" i="3" s="1"/>
  <c r="D29" i="3" s="1"/>
  <c r="I29" i="3" s="1"/>
  <c r="A30" i="3"/>
  <c r="N27" i="3"/>
  <c r="P27" i="3"/>
  <c r="O27" i="3"/>
  <c r="U54" i="4" a="1"/>
  <c r="D23" i="4" l="1"/>
  <c r="I23" i="4" s="1"/>
  <c r="Z23" i="4" s="1"/>
  <c r="X23" i="4"/>
  <c r="B24" i="4"/>
  <c r="A25" i="4"/>
  <c r="V25" i="4" s="1"/>
  <c r="W23" i="4"/>
  <c r="T101" i="4"/>
  <c r="U101" i="4" s="1"/>
  <c r="V101" i="4" s="1"/>
  <c r="S102" i="4"/>
  <c r="L55" i="4"/>
  <c r="M55" i="4" s="1"/>
  <c r="Z20" i="4"/>
  <c r="J20" i="4"/>
  <c r="D22" i="4"/>
  <c r="X22" i="4"/>
  <c r="C24" i="4"/>
  <c r="X24" i="4" s="1"/>
  <c r="W24" i="4"/>
  <c r="J21" i="4"/>
  <c r="K21" i="4" s="1"/>
  <c r="S21" i="4" s="1"/>
  <c r="U54" i="4"/>
  <c r="D24" i="4"/>
  <c r="I24" i="4" s="1"/>
  <c r="L56" i="4"/>
  <c r="M56" i="4" s="1"/>
  <c r="N56" i="4" s="1"/>
  <c r="Z21" i="4"/>
  <c r="H58" i="4"/>
  <c r="H59" i="4"/>
  <c r="B60" i="4"/>
  <c r="A61" i="4"/>
  <c r="B25" i="4"/>
  <c r="A26" i="4"/>
  <c r="V26" i="4" s="1"/>
  <c r="S27" i="3"/>
  <c r="Q27" i="3"/>
  <c r="R27" i="3" s="1"/>
  <c r="Q26" i="3"/>
  <c r="R26" i="3" s="1"/>
  <c r="K28" i="3"/>
  <c r="H29" i="3"/>
  <c r="J29" i="3" s="1"/>
  <c r="K29" i="3" s="1"/>
  <c r="A31" i="3"/>
  <c r="B30" i="3"/>
  <c r="C30" i="3" s="1"/>
  <c r="D30" i="3" s="1"/>
  <c r="I30" i="3" s="1"/>
  <c r="P28" i="3"/>
  <c r="O28" i="3"/>
  <c r="N28" i="3"/>
  <c r="I59" i="4" a="1"/>
  <c r="J59" i="4" a="1"/>
  <c r="I58" i="4" a="1"/>
  <c r="J58" i="4" a="1"/>
  <c r="Y23" i="4" l="1"/>
  <c r="L58" i="4"/>
  <c r="M58" i="4" s="1"/>
  <c r="N58" i="4" s="1"/>
  <c r="H23" i="4"/>
  <c r="J23" i="4" s="1"/>
  <c r="T102" i="4"/>
  <c r="U102" i="4" s="1"/>
  <c r="V102" i="4" s="1"/>
  <c r="S103" i="4"/>
  <c r="C25" i="4"/>
  <c r="X25" i="4" s="1"/>
  <c r="W25" i="4"/>
  <c r="L20" i="4"/>
  <c r="M20" i="4" s="1"/>
  <c r="Q20" i="4"/>
  <c r="R20" i="4" s="1"/>
  <c r="K20" i="4"/>
  <c r="S20" i="4" s="1"/>
  <c r="Y22" i="4"/>
  <c r="I22" i="4"/>
  <c r="H22" i="4"/>
  <c r="AA22" i="4" s="1"/>
  <c r="Q21" i="4"/>
  <c r="R21" i="4" s="1"/>
  <c r="L21" i="4"/>
  <c r="M21" i="4" s="1"/>
  <c r="N55" i="4"/>
  <c r="O55" i="4"/>
  <c r="O56" i="4"/>
  <c r="L59" i="4"/>
  <c r="M59" i="4" s="1"/>
  <c r="N59" i="4" s="1"/>
  <c r="Z24" i="4"/>
  <c r="H24" i="4"/>
  <c r="Y24" i="4"/>
  <c r="J58" i="4"/>
  <c r="I58" i="4"/>
  <c r="J59" i="4"/>
  <c r="I59" i="4"/>
  <c r="C60" i="4"/>
  <c r="B61" i="4"/>
  <c r="C61" i="4" s="1"/>
  <c r="A62" i="4"/>
  <c r="H30" i="3"/>
  <c r="J30" i="3" s="1"/>
  <c r="K30" i="3" s="1"/>
  <c r="A27" i="4"/>
  <c r="V27" i="4" s="1"/>
  <c r="B26" i="4"/>
  <c r="S28" i="3"/>
  <c r="Q28" i="3"/>
  <c r="R28" i="3" s="1"/>
  <c r="L29" i="3"/>
  <c r="M29" i="3" s="1"/>
  <c r="O29" i="3" s="1"/>
  <c r="A32" i="3"/>
  <c r="B32" i="3" s="1"/>
  <c r="C32" i="3" s="1"/>
  <c r="D32" i="3" s="1"/>
  <c r="I32" i="3" s="1"/>
  <c r="B31" i="3"/>
  <c r="C31" i="3" s="1"/>
  <c r="D31" i="3" s="1"/>
  <c r="I31" i="3" s="1"/>
  <c r="U56" i="4" a="1"/>
  <c r="U55" i="4" a="1"/>
  <c r="AA23" i="4" l="1"/>
  <c r="T103" i="4"/>
  <c r="U103" i="4" s="1"/>
  <c r="V103" i="4" s="1"/>
  <c r="S104" i="4"/>
  <c r="D25" i="4"/>
  <c r="I25" i="4" s="1"/>
  <c r="L60" i="4" s="1"/>
  <c r="O58" i="4"/>
  <c r="U55" i="4"/>
  <c r="C26" i="4"/>
  <c r="X26" i="4" s="1"/>
  <c r="W26" i="4"/>
  <c r="L57" i="4"/>
  <c r="M57" i="4" s="1"/>
  <c r="Z22" i="4"/>
  <c r="J22" i="4"/>
  <c r="U56" i="4"/>
  <c r="AA24" i="4"/>
  <c r="J24" i="4"/>
  <c r="D26" i="4"/>
  <c r="Y26" i="4" s="1"/>
  <c r="L23" i="4"/>
  <c r="M23" i="4" s="1"/>
  <c r="K23" i="4"/>
  <c r="S23" i="4" s="1"/>
  <c r="O59" i="4"/>
  <c r="H61" i="4"/>
  <c r="H60" i="4"/>
  <c r="B62" i="4"/>
  <c r="A63" i="4"/>
  <c r="L30" i="3"/>
  <c r="M30" i="3" s="1"/>
  <c r="N30" i="3" s="1"/>
  <c r="Q23" i="4"/>
  <c r="A28" i="4"/>
  <c r="B27" i="4"/>
  <c r="P29" i="3"/>
  <c r="S29" i="3" s="1"/>
  <c r="N29" i="3"/>
  <c r="H32" i="3"/>
  <c r="J32" i="3" s="1"/>
  <c r="K32" i="3" s="1"/>
  <c r="H31" i="3"/>
  <c r="J31" i="3" s="1"/>
  <c r="K31" i="3" s="1"/>
  <c r="U58" i="4" a="1"/>
  <c r="I60" i="4" a="1"/>
  <c r="I61" i="4" a="1"/>
  <c r="U59" i="4" a="1"/>
  <c r="J61" i="4" a="1"/>
  <c r="J60" i="4" a="1"/>
  <c r="I26" i="4" l="1"/>
  <c r="Z26" i="4" s="1"/>
  <c r="T104" i="4"/>
  <c r="U104" i="4" s="1"/>
  <c r="V104" i="4" s="1"/>
  <c r="S105" i="4"/>
  <c r="Z25" i="4"/>
  <c r="Y25" i="4"/>
  <c r="H25" i="4"/>
  <c r="AA25" i="4" s="1"/>
  <c r="K22" i="4"/>
  <c r="S22" i="4" s="1"/>
  <c r="L22" i="4"/>
  <c r="M22" i="4" s="1"/>
  <c r="Q22" i="4"/>
  <c r="R22" i="4" s="1"/>
  <c r="C27" i="4"/>
  <c r="X27" i="4" s="1"/>
  <c r="W27" i="4"/>
  <c r="A29" i="4"/>
  <c r="V29" i="4" s="1"/>
  <c r="V28" i="4"/>
  <c r="N57" i="4"/>
  <c r="O57" i="4"/>
  <c r="M60" i="4"/>
  <c r="N60" i="4" s="1"/>
  <c r="H26" i="4"/>
  <c r="L61" i="4"/>
  <c r="M61" i="4" s="1"/>
  <c r="N61" i="4" s="1"/>
  <c r="L24" i="4"/>
  <c r="M24" i="4" s="1"/>
  <c r="K24" i="4"/>
  <c r="S24" i="4" s="1"/>
  <c r="J61" i="4"/>
  <c r="I61" i="4"/>
  <c r="U59" i="4"/>
  <c r="J60" i="4"/>
  <c r="I60" i="4"/>
  <c r="U58" i="4"/>
  <c r="B63" i="4"/>
  <c r="A64" i="4"/>
  <c r="C62" i="4"/>
  <c r="P30" i="3"/>
  <c r="O30" i="3"/>
  <c r="R23" i="4"/>
  <c r="Q24" i="4"/>
  <c r="B28" i="4"/>
  <c r="Q29" i="3"/>
  <c r="R29" i="3" s="1"/>
  <c r="L32" i="3"/>
  <c r="M32" i="3" s="1"/>
  <c r="N32" i="3" s="1"/>
  <c r="L31" i="3"/>
  <c r="M31" i="3" s="1"/>
  <c r="O31" i="3" s="1"/>
  <c r="U57" i="4" a="1"/>
  <c r="J25" i="4" l="1"/>
  <c r="K25" i="4" s="1"/>
  <c r="S25" i="4" s="1"/>
  <c r="T105" i="4"/>
  <c r="U105" i="4" s="1"/>
  <c r="V105" i="4" s="1"/>
  <c r="S106" i="4"/>
  <c r="B29" i="4"/>
  <c r="W29" i="4" s="1"/>
  <c r="U57" i="4"/>
  <c r="C28" i="4"/>
  <c r="D28" i="4" s="1"/>
  <c r="I28" i="4" s="1"/>
  <c r="W28" i="4"/>
  <c r="A30" i="4"/>
  <c r="V30" i="4" s="1"/>
  <c r="D27" i="4"/>
  <c r="I27" i="4" s="1"/>
  <c r="Z27" i="4" s="1"/>
  <c r="O60" i="4"/>
  <c r="J26" i="4"/>
  <c r="AA26" i="4"/>
  <c r="O61" i="4"/>
  <c r="H62" i="4"/>
  <c r="C63" i="4"/>
  <c r="B64" i="4"/>
  <c r="C64" i="4" s="1"/>
  <c r="A65" i="4"/>
  <c r="Q30" i="3"/>
  <c r="R30" i="3" s="1"/>
  <c r="S30" i="3"/>
  <c r="R24" i="4"/>
  <c r="O32" i="3"/>
  <c r="P32" i="3"/>
  <c r="P31" i="3"/>
  <c r="S31" i="3" s="1"/>
  <c r="N31" i="3"/>
  <c r="I62" i="4" a="1"/>
  <c r="J62" i="4" a="1"/>
  <c r="U60" i="4" a="1"/>
  <c r="U61" i="4" a="1"/>
  <c r="Q25" i="4" l="1"/>
  <c r="L25" i="4"/>
  <c r="M25" i="4" s="1"/>
  <c r="L62" i="4"/>
  <c r="M62" i="4" s="1"/>
  <c r="N62" i="4" s="1"/>
  <c r="T106" i="4"/>
  <c r="U106" i="4" s="1"/>
  <c r="V106" i="4" s="1"/>
  <c r="S107" i="4"/>
  <c r="C29" i="4"/>
  <c r="Y27" i="4"/>
  <c r="X28" i="4"/>
  <c r="A31" i="4"/>
  <c r="V31" i="4" s="1"/>
  <c r="H27" i="4"/>
  <c r="J27" i="4" s="1"/>
  <c r="B30" i="4"/>
  <c r="L63" i="4"/>
  <c r="Z28" i="4"/>
  <c r="L26" i="4"/>
  <c r="M26" i="4" s="1"/>
  <c r="K26" i="4"/>
  <c r="S26" i="4" s="1"/>
  <c r="H28" i="4"/>
  <c r="Y28" i="4"/>
  <c r="U60" i="4"/>
  <c r="U61" i="4"/>
  <c r="J62" i="4"/>
  <c r="I62" i="4"/>
  <c r="H63" i="4"/>
  <c r="H64" i="4"/>
  <c r="B65" i="4"/>
  <c r="C65" i="4" s="1"/>
  <c r="A66" i="4"/>
  <c r="R25" i="4"/>
  <c r="Q26" i="4"/>
  <c r="R26" i="4" s="1"/>
  <c r="S32" i="3"/>
  <c r="Q32" i="3"/>
  <c r="R32" i="3" s="1"/>
  <c r="Q31" i="3"/>
  <c r="R31" i="3" s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5" i="2"/>
  <c r="A22" i="1"/>
  <c r="A23" i="1"/>
  <c r="A24" i="1"/>
  <c r="A25" i="1"/>
  <c r="E25" i="1" s="1"/>
  <c r="A26" i="1"/>
  <c r="A27" i="1"/>
  <c r="A28" i="1"/>
  <c r="A29" i="1"/>
  <c r="A30" i="1"/>
  <c r="A21" i="1"/>
  <c r="E21" i="1" s="1"/>
  <c r="D22" i="1"/>
  <c r="D23" i="1"/>
  <c r="D24" i="1"/>
  <c r="D25" i="1"/>
  <c r="D26" i="1"/>
  <c r="D27" i="1"/>
  <c r="D28" i="1"/>
  <c r="D29" i="1"/>
  <c r="D30" i="1"/>
  <c r="I64" i="4" a="1"/>
  <c r="J64" i="4" a="1"/>
  <c r="I63" i="4" a="1"/>
  <c r="J63" i="4" a="1"/>
  <c r="B15" i="1" l="1"/>
  <c r="I22" i="1"/>
  <c r="I25" i="1"/>
  <c r="I29" i="1"/>
  <c r="I21" i="1"/>
  <c r="J21" i="1" s="1"/>
  <c r="I28" i="1"/>
  <c r="E28" i="1"/>
  <c r="E22" i="1"/>
  <c r="F25" i="1"/>
  <c r="G25" i="1"/>
  <c r="G24" i="1"/>
  <c r="F26" i="1"/>
  <c r="G26" i="1"/>
  <c r="F27" i="1"/>
  <c r="G27" i="1"/>
  <c r="E24" i="1"/>
  <c r="I24" i="1" s="1"/>
  <c r="F30" i="1"/>
  <c r="G30" i="1"/>
  <c r="E27" i="1"/>
  <c r="I27" i="1" s="1"/>
  <c r="G29" i="1"/>
  <c r="G28" i="1"/>
  <c r="E23" i="1"/>
  <c r="I23" i="1" s="1"/>
  <c r="F22" i="1"/>
  <c r="G22" i="1"/>
  <c r="G23" i="1"/>
  <c r="H21" i="1"/>
  <c r="F23" i="1"/>
  <c r="F24" i="1"/>
  <c r="E30" i="1"/>
  <c r="I30" i="1" s="1"/>
  <c r="E29" i="1"/>
  <c r="F29" i="1"/>
  <c r="F28" i="1"/>
  <c r="E26" i="1"/>
  <c r="I26" i="1" s="1"/>
  <c r="T107" i="4"/>
  <c r="U107" i="4" s="1"/>
  <c r="V107" i="4" s="1"/>
  <c r="S108" i="4"/>
  <c r="A32" i="4"/>
  <c r="V32" i="4" s="1"/>
  <c r="B31" i="4"/>
  <c r="C31" i="4" s="1"/>
  <c r="D31" i="4" s="1"/>
  <c r="D29" i="4"/>
  <c r="X29" i="4"/>
  <c r="AA27" i="4"/>
  <c r="M63" i="4"/>
  <c r="N63" i="4" s="1"/>
  <c r="C30" i="4"/>
  <c r="W30" i="4"/>
  <c r="AA28" i="4"/>
  <c r="J28" i="4"/>
  <c r="K27" i="4"/>
  <c r="S27" i="4" s="1"/>
  <c r="L27" i="4"/>
  <c r="M27" i="4" s="1"/>
  <c r="A33" i="4"/>
  <c r="V33" i="4" s="1"/>
  <c r="B32" i="4"/>
  <c r="B50" i="4" s="1"/>
  <c r="J64" i="4"/>
  <c r="I64" i="4"/>
  <c r="J63" i="4"/>
  <c r="I63" i="4"/>
  <c r="O62" i="4"/>
  <c r="H65" i="4"/>
  <c r="A67" i="4"/>
  <c r="B66" i="4"/>
  <c r="C66" i="4" s="1"/>
  <c r="Q27" i="4"/>
  <c r="R27" i="4" s="1"/>
  <c r="J65" i="4" a="1"/>
  <c r="U62" i="4" a="1"/>
  <c r="I65" i="4" a="1"/>
  <c r="I31" i="1" l="1"/>
  <c r="I48" i="1"/>
  <c r="J22" i="1"/>
  <c r="W31" i="4"/>
  <c r="T108" i="4"/>
  <c r="U108" i="4" s="1"/>
  <c r="V108" i="4" s="1"/>
  <c r="S109" i="4"/>
  <c r="I29" i="4"/>
  <c r="H29" i="4"/>
  <c r="AA29" i="4" s="1"/>
  <c r="Y29" i="4"/>
  <c r="X31" i="4"/>
  <c r="O63" i="4"/>
  <c r="Y31" i="4"/>
  <c r="H31" i="4"/>
  <c r="AA31" i="4" s="1"/>
  <c r="I31" i="4"/>
  <c r="Z31" i="4" s="1"/>
  <c r="C32" i="4"/>
  <c r="X32" i="4" s="1"/>
  <c r="W32" i="4"/>
  <c r="D30" i="4"/>
  <c r="X30" i="4"/>
  <c r="L66" i="4"/>
  <c r="K28" i="4"/>
  <c r="S28" i="4" s="1"/>
  <c r="L28" i="4"/>
  <c r="M28" i="4" s="1"/>
  <c r="A34" i="4"/>
  <c r="V34" i="4" s="1"/>
  <c r="B33" i="4"/>
  <c r="J65" i="4"/>
  <c r="I65" i="4"/>
  <c r="U62" i="4"/>
  <c r="H66" i="4"/>
  <c r="B67" i="4"/>
  <c r="C67" i="4" s="1"/>
  <c r="A68" i="4"/>
  <c r="Q28" i="4"/>
  <c r="H27" i="1"/>
  <c r="H24" i="1"/>
  <c r="H28" i="1"/>
  <c r="H29" i="1"/>
  <c r="H22" i="1"/>
  <c r="H23" i="1"/>
  <c r="H30" i="1"/>
  <c r="H25" i="1"/>
  <c r="H26" i="1"/>
  <c r="U63" i="4" a="1"/>
  <c r="I66" i="4" a="1"/>
  <c r="J66" i="4" a="1"/>
  <c r="J49" i="1" l="1"/>
  <c r="J50" i="1" s="1"/>
  <c r="J51" i="1" s="1"/>
  <c r="J52" i="1" s="1"/>
  <c r="J53" i="1" s="1"/>
  <c r="J54" i="1" s="1"/>
  <c r="J55" i="1" s="1"/>
  <c r="J56" i="1" s="1"/>
  <c r="J57" i="1" s="1"/>
  <c r="I58" i="1"/>
  <c r="T109" i="4"/>
  <c r="U109" i="4" s="1"/>
  <c r="V109" i="4" s="1"/>
  <c r="S110" i="4"/>
  <c r="J31" i="4"/>
  <c r="L31" i="4" s="1"/>
  <c r="M31" i="4" s="1"/>
  <c r="Z29" i="4"/>
  <c r="L64" i="4"/>
  <c r="M64" i="4" s="1"/>
  <c r="J29" i="4"/>
  <c r="D32" i="4"/>
  <c r="I32" i="4" s="1"/>
  <c r="L67" i="4" s="1"/>
  <c r="H30" i="4"/>
  <c r="AA30" i="4" s="1"/>
  <c r="Y30" i="4"/>
  <c r="I30" i="4"/>
  <c r="M66" i="4"/>
  <c r="N66" i="4" s="1"/>
  <c r="C33" i="4"/>
  <c r="D33" i="4" s="1"/>
  <c r="W33" i="4"/>
  <c r="Q31" i="4"/>
  <c r="R31" i="4" s="1"/>
  <c r="X33" i="4"/>
  <c r="K31" i="4"/>
  <c r="S31" i="4" s="1"/>
  <c r="B34" i="4"/>
  <c r="A35" i="4"/>
  <c r="V35" i="4" s="1"/>
  <c r="U63" i="4"/>
  <c r="J66" i="4"/>
  <c r="I66" i="4"/>
  <c r="H67" i="4"/>
  <c r="A69" i="4"/>
  <c r="B68" i="4"/>
  <c r="R28" i="4"/>
  <c r="J23" i="1"/>
  <c r="J24" i="1" s="1"/>
  <c r="J25" i="1" s="1"/>
  <c r="J26" i="1" s="1"/>
  <c r="J27" i="1" s="1"/>
  <c r="J28" i="1" s="1"/>
  <c r="J29" i="1" s="1"/>
  <c r="J30" i="1" s="1"/>
  <c r="M23" i="3"/>
  <c r="I67" i="4" a="1"/>
  <c r="J67" i="4" a="1"/>
  <c r="T110" i="4" l="1"/>
  <c r="U110" i="4" s="1"/>
  <c r="V110" i="4" s="1"/>
  <c r="S111" i="4"/>
  <c r="Q29" i="4"/>
  <c r="R29" i="4" s="1"/>
  <c r="L29" i="4"/>
  <c r="M29" i="4" s="1"/>
  <c r="K29" i="4"/>
  <c r="S29" i="4" s="1"/>
  <c r="N64" i="4"/>
  <c r="O64" i="4"/>
  <c r="Y32" i="4"/>
  <c r="H32" i="4"/>
  <c r="AA32" i="4" s="1"/>
  <c r="Z32" i="4"/>
  <c r="J30" i="4"/>
  <c r="L30" i="4" s="1"/>
  <c r="M30" i="4" s="1"/>
  <c r="O66" i="4"/>
  <c r="Y33" i="4"/>
  <c r="I33" i="4"/>
  <c r="H33" i="4"/>
  <c r="AA33" i="4" s="1"/>
  <c r="C34" i="4"/>
  <c r="X34" i="4" s="1"/>
  <c r="W34" i="4"/>
  <c r="L65" i="4"/>
  <c r="M65" i="4" s="1"/>
  <c r="Z30" i="4"/>
  <c r="M67" i="4"/>
  <c r="N67" i="4" s="1"/>
  <c r="B35" i="4"/>
  <c r="A36" i="4"/>
  <c r="V36" i="4" s="1"/>
  <c r="J67" i="4"/>
  <c r="I67" i="4"/>
  <c r="C68" i="4"/>
  <c r="B69" i="4"/>
  <c r="C69" i="4" s="1"/>
  <c r="A70" i="4"/>
  <c r="P23" i="3"/>
  <c r="O23" i="3"/>
  <c r="N23" i="3"/>
  <c r="U64" i="4" a="1"/>
  <c r="U66" i="4" a="1"/>
  <c r="D34" i="4" l="1"/>
  <c r="J33" i="4"/>
  <c r="Q33" i="4" s="1"/>
  <c r="R33" i="4" s="1"/>
  <c r="T111" i="4"/>
  <c r="U111" i="4" s="1"/>
  <c r="V111" i="4" s="1"/>
  <c r="S112" i="4"/>
  <c r="U64" i="4"/>
  <c r="C50" i="4"/>
  <c r="J32" i="4"/>
  <c r="K32" i="4" s="1"/>
  <c r="S32" i="4" s="1"/>
  <c r="Q30" i="4"/>
  <c r="R30" i="4" s="1"/>
  <c r="K30" i="4"/>
  <c r="S30" i="4" s="1"/>
  <c r="C35" i="4"/>
  <c r="D35" i="4" s="1"/>
  <c r="I35" i="4" s="1"/>
  <c r="W35" i="4"/>
  <c r="Z33" i="4"/>
  <c r="L68" i="4"/>
  <c r="O65" i="4"/>
  <c r="N65" i="4"/>
  <c r="Y34" i="4"/>
  <c r="H34" i="4"/>
  <c r="AA34" i="4" s="1"/>
  <c r="I34" i="4"/>
  <c r="B36" i="4"/>
  <c r="A37" i="4"/>
  <c r="V37" i="4" s="1"/>
  <c r="U66" i="4"/>
  <c r="O67" i="4"/>
  <c r="H68" i="4"/>
  <c r="H69" i="4"/>
  <c r="B70" i="4"/>
  <c r="C70" i="4" s="1"/>
  <c r="A71" i="4"/>
  <c r="Q23" i="3"/>
  <c r="Q35" i="3" s="1"/>
  <c r="S23" i="3"/>
  <c r="S35" i="3" s="1"/>
  <c r="J69" i="4" a="1"/>
  <c r="U65" i="4" a="1"/>
  <c r="I68" i="4" a="1"/>
  <c r="J68" i="4" a="1"/>
  <c r="U67" i="4" a="1"/>
  <c r="I69" i="4" a="1"/>
  <c r="L33" i="4" l="1"/>
  <c r="M33" i="4" s="1"/>
  <c r="K33" i="4"/>
  <c r="S33" i="4" s="1"/>
  <c r="M68" i="4"/>
  <c r="N68" i="4" s="1"/>
  <c r="X35" i="4"/>
  <c r="L32" i="4"/>
  <c r="M32" i="4" s="1"/>
  <c r="Q32" i="4"/>
  <c r="R32" i="4" s="1"/>
  <c r="T112" i="4"/>
  <c r="U112" i="4" s="1"/>
  <c r="V112" i="4" s="1"/>
  <c r="S113" i="4"/>
  <c r="U65" i="4"/>
  <c r="C36" i="4"/>
  <c r="D36" i="4" s="1"/>
  <c r="Y36" i="4" s="1"/>
  <c r="W36" i="4"/>
  <c r="L70" i="4"/>
  <c r="Z35" i="4"/>
  <c r="Y35" i="4"/>
  <c r="H35" i="4"/>
  <c r="Z34" i="4"/>
  <c r="L69" i="4"/>
  <c r="M69" i="4" s="1"/>
  <c r="N69" i="4" s="1"/>
  <c r="J34" i="4"/>
  <c r="B37" i="4"/>
  <c r="A38" i="4"/>
  <c r="J68" i="4"/>
  <c r="I68" i="4"/>
  <c r="U67" i="4"/>
  <c r="J69" i="4"/>
  <c r="I69" i="4"/>
  <c r="H70" i="4"/>
  <c r="A72" i="4"/>
  <c r="A73" i="4" s="1"/>
  <c r="B73" i="4" s="1"/>
  <c r="B71" i="4"/>
  <c r="R23" i="3"/>
  <c r="Q36" i="3" s="1"/>
  <c r="I70" i="4" a="1"/>
  <c r="J70" i="4" a="1"/>
  <c r="O68" i="4" l="1"/>
  <c r="X36" i="4"/>
  <c r="T113" i="4"/>
  <c r="U113" i="4" s="1"/>
  <c r="V113" i="4" s="1"/>
  <c r="S114" i="4"/>
  <c r="H36" i="4"/>
  <c r="J36" i="4" s="1"/>
  <c r="L36" i="4" s="1"/>
  <c r="M36" i="4" s="1"/>
  <c r="C37" i="4"/>
  <c r="X37" i="4" s="1"/>
  <c r="W37" i="4"/>
  <c r="B38" i="4"/>
  <c r="V38" i="4"/>
  <c r="B51" i="4"/>
  <c r="AA35" i="4"/>
  <c r="J35" i="4"/>
  <c r="Q35" i="4" s="1"/>
  <c r="R35" i="4" s="1"/>
  <c r="I36" i="4"/>
  <c r="Z36" i="4" s="1"/>
  <c r="D37" i="4"/>
  <c r="Y37" i="4" s="1"/>
  <c r="L34" i="4"/>
  <c r="M34" i="4" s="1"/>
  <c r="Q34" i="4"/>
  <c r="R34" i="4" s="1"/>
  <c r="K34" i="4"/>
  <c r="S34" i="4" s="1"/>
  <c r="C73" i="4"/>
  <c r="H73" i="4" s="1"/>
  <c r="J70" i="4"/>
  <c r="I70" i="4"/>
  <c r="O69" i="4"/>
  <c r="M70" i="4"/>
  <c r="N70" i="4" s="1"/>
  <c r="C71" i="4"/>
  <c r="B72" i="4"/>
  <c r="C72" i="4" s="1"/>
  <c r="J73" i="4" a="1"/>
  <c r="I73" i="4" a="1"/>
  <c r="U68" i="4" a="1"/>
  <c r="U69" i="4" a="1"/>
  <c r="K36" i="4" l="1"/>
  <c r="S36" i="4" s="1"/>
  <c r="AA36" i="4"/>
  <c r="L71" i="4"/>
  <c r="H37" i="4"/>
  <c r="C51" i="4" s="1"/>
  <c r="F50" i="4" s="1"/>
  <c r="F51" i="4" s="1"/>
  <c r="D54" i="4" s="1"/>
  <c r="Q36" i="4"/>
  <c r="R36" i="4" s="1"/>
  <c r="T114" i="4"/>
  <c r="U114" i="4" s="1"/>
  <c r="V114" i="4" s="1"/>
  <c r="S115" i="4"/>
  <c r="I37" i="4"/>
  <c r="Z37" i="4" s="1"/>
  <c r="C38" i="4"/>
  <c r="W38" i="4"/>
  <c r="K35" i="4"/>
  <c r="S35" i="4" s="1"/>
  <c r="L35" i="4"/>
  <c r="M35" i="4" s="1"/>
  <c r="I73" i="4"/>
  <c r="J73" i="4"/>
  <c r="U68" i="4"/>
  <c r="U69" i="4"/>
  <c r="O70" i="4"/>
  <c r="H72" i="4"/>
  <c r="H71" i="4"/>
  <c r="J71" i="4" a="1"/>
  <c r="I71" i="4" a="1"/>
  <c r="U70" i="4" a="1"/>
  <c r="J72" i="4" a="1"/>
  <c r="I72" i="4" a="1"/>
  <c r="AA37" i="4" l="1"/>
  <c r="J37" i="4"/>
  <c r="Q37" i="4" s="1"/>
  <c r="R37" i="4" s="1"/>
  <c r="T115" i="4"/>
  <c r="U115" i="4" s="1"/>
  <c r="V115" i="4" s="1"/>
  <c r="S116" i="4"/>
  <c r="L72" i="4"/>
  <c r="D38" i="4"/>
  <c r="X38" i="4"/>
  <c r="AB19" i="4"/>
  <c r="AB34" i="4"/>
  <c r="AB27" i="4"/>
  <c r="AB37" i="4"/>
  <c r="AB22" i="4"/>
  <c r="AB29" i="4"/>
  <c r="AB25" i="4"/>
  <c r="AB35" i="4"/>
  <c r="AB23" i="4"/>
  <c r="AB21" i="4"/>
  <c r="AB26" i="4"/>
  <c r="AB36" i="4"/>
  <c r="AB33" i="4"/>
  <c r="AB32" i="4"/>
  <c r="AB38" i="4"/>
  <c r="AB28" i="4"/>
  <c r="L37" i="4"/>
  <c r="M37" i="4" s="1"/>
  <c r="AB31" i="4"/>
  <c r="AB24" i="4"/>
  <c r="AB30" i="4"/>
  <c r="AB20" i="4"/>
  <c r="D73" i="4"/>
  <c r="E73" i="4" s="1"/>
  <c r="U70" i="4"/>
  <c r="J72" i="4"/>
  <c r="I72" i="4"/>
  <c r="J71" i="4"/>
  <c r="I71" i="4"/>
  <c r="E54" i="4"/>
  <c r="K54" i="4"/>
  <c r="M72" i="4"/>
  <c r="N72" i="4" s="1"/>
  <c r="M71" i="4"/>
  <c r="N71" i="4" s="1"/>
  <c r="D68" i="4"/>
  <c r="D60" i="4"/>
  <c r="D67" i="4"/>
  <c r="D59" i="4"/>
  <c r="D66" i="4"/>
  <c r="D58" i="4"/>
  <c r="D65" i="4"/>
  <c r="D57" i="4"/>
  <c r="D72" i="4"/>
  <c r="E72" i="4" s="1"/>
  <c r="D64" i="4"/>
  <c r="D56" i="4"/>
  <c r="D71" i="4"/>
  <c r="E71" i="4" s="1"/>
  <c r="D63" i="4"/>
  <c r="D70" i="4"/>
  <c r="D62" i="4"/>
  <c r="D69" i="4"/>
  <c r="D61" i="4"/>
  <c r="D55" i="4"/>
  <c r="P54" i="4" a="1"/>
  <c r="K37" i="4" l="1"/>
  <c r="S37" i="4" s="1"/>
  <c r="T116" i="4"/>
  <c r="U116" i="4" s="1"/>
  <c r="V116" i="4" s="1"/>
  <c r="S117" i="4"/>
  <c r="Y38" i="4"/>
  <c r="H38" i="4"/>
  <c r="I38" i="4"/>
  <c r="P54" i="4"/>
  <c r="K71" i="4"/>
  <c r="O72" i="4"/>
  <c r="O71" i="4"/>
  <c r="K73" i="4"/>
  <c r="E66" i="4"/>
  <c r="K66" i="4"/>
  <c r="E56" i="4"/>
  <c r="K56" i="4"/>
  <c r="E59" i="4"/>
  <c r="K59" i="4"/>
  <c r="E64" i="4"/>
  <c r="K64" i="4"/>
  <c r="E67" i="4"/>
  <c r="K67" i="4"/>
  <c r="K72" i="4"/>
  <c r="E70" i="4"/>
  <c r="K70" i="4"/>
  <c r="E57" i="4"/>
  <c r="K57" i="4"/>
  <c r="E60" i="4"/>
  <c r="K60" i="4"/>
  <c r="E65" i="4"/>
  <c r="K65" i="4"/>
  <c r="E68" i="4"/>
  <c r="K68" i="4"/>
  <c r="E62" i="4"/>
  <c r="K62" i="4"/>
  <c r="E61" i="4"/>
  <c r="K61" i="4"/>
  <c r="E69" i="4"/>
  <c r="K69" i="4"/>
  <c r="E63" i="4"/>
  <c r="K63" i="4"/>
  <c r="E58" i="4"/>
  <c r="K58" i="4"/>
  <c r="E55" i="4"/>
  <c r="K55" i="4"/>
  <c r="P62" i="4" a="1"/>
  <c r="P56" i="4" a="1"/>
  <c r="P68" i="4" a="1"/>
  <c r="P70" i="4" a="1"/>
  <c r="Q54" i="4" a="1"/>
  <c r="P71" i="4" a="1"/>
  <c r="P66" i="4" a="1"/>
  <c r="P55" i="4" a="1"/>
  <c r="P64" i="4" a="1"/>
  <c r="U72" i="4" a="1"/>
  <c r="P72" i="4" a="1"/>
  <c r="P61" i="4" a="1"/>
  <c r="P65" i="4" a="1"/>
  <c r="P57" i="4" a="1"/>
  <c r="P59" i="4" a="1"/>
  <c r="U71" i="4" a="1"/>
  <c r="P67" i="4" a="1"/>
  <c r="P69" i="4" a="1"/>
  <c r="P63" i="4" a="1"/>
  <c r="P60" i="4" a="1"/>
  <c r="P58" i="4" a="1"/>
  <c r="T117" i="4" l="1"/>
  <c r="U117" i="4" s="1"/>
  <c r="V117" i="4" s="1"/>
  <c r="S118" i="4"/>
  <c r="Z38" i="4"/>
  <c r="L73" i="4"/>
  <c r="M73" i="4" s="1"/>
  <c r="AA38" i="4"/>
  <c r="J38" i="4"/>
  <c r="Q38" i="4" s="1"/>
  <c r="Q54" i="4"/>
  <c r="P61" i="4"/>
  <c r="P66" i="4"/>
  <c r="P64" i="4"/>
  <c r="P60" i="4"/>
  <c r="P57" i="4"/>
  <c r="P55" i="4"/>
  <c r="P58" i="4"/>
  <c r="P62" i="4"/>
  <c r="P68" i="4"/>
  <c r="P59" i="4"/>
  <c r="P69" i="4"/>
  <c r="Q69" i="4" s="1" a="1"/>
  <c r="P65" i="4"/>
  <c r="P56" i="4"/>
  <c r="P63" i="4"/>
  <c r="P70" i="4"/>
  <c r="Q70" i="4" s="1" a="1"/>
  <c r="P67" i="4"/>
  <c r="Q67" i="4" s="1" a="1"/>
  <c r="U72" i="4"/>
  <c r="P72" i="4"/>
  <c r="U71" i="4"/>
  <c r="P71" i="4"/>
  <c r="Q71" i="4" a="1"/>
  <c r="Q72" i="4" a="1"/>
  <c r="Q68" i="4" a="1"/>
  <c r="Q62" i="4" a="1"/>
  <c r="Q66" i="4" a="1"/>
  <c r="Q58" i="4" a="1"/>
  <c r="Q60" i="4" a="1"/>
  <c r="S54" i="4" a="1"/>
  <c r="R54" i="4" a="1"/>
  <c r="Q63" i="4" a="1"/>
  <c r="Q65" i="4" a="1"/>
  <c r="Q55" i="4" a="1"/>
  <c r="Q64" i="4" a="1"/>
  <c r="Q59" i="4" a="1"/>
  <c r="Q57" i="4" a="1"/>
  <c r="Q61" i="4" a="1"/>
  <c r="Q56" i="4" a="1"/>
  <c r="T118" i="4" l="1"/>
  <c r="U118" i="4" s="1"/>
  <c r="V118" i="4" s="1"/>
  <c r="S119" i="4"/>
  <c r="L38" i="4"/>
  <c r="M38" i="4" s="1"/>
  <c r="K38" i="4"/>
  <c r="S38" i="4" s="1"/>
  <c r="N73" i="4"/>
  <c r="O73" i="4"/>
  <c r="R38" i="4"/>
  <c r="R41" i="4" s="1"/>
  <c r="R40" i="4"/>
  <c r="S54" i="4"/>
  <c r="T54" i="4" s="1"/>
  <c r="R54" i="4"/>
  <c r="G75" i="4" s="1"/>
  <c r="Q64" i="4"/>
  <c r="Q70" i="4"/>
  <c r="Q66" i="4"/>
  <c r="Q69" i="4"/>
  <c r="Q72" i="4"/>
  <c r="Q71" i="4"/>
  <c r="Q68" i="4"/>
  <c r="Q67" i="4"/>
  <c r="Q65" i="4"/>
  <c r="Q63" i="4"/>
  <c r="Q62" i="4"/>
  <c r="Q60" i="4"/>
  <c r="Q59" i="4"/>
  <c r="Q55" i="4"/>
  <c r="Q58" i="4"/>
  <c r="Q57" i="4"/>
  <c r="Q61" i="4"/>
  <c r="Q56" i="4"/>
  <c r="U73" i="4" a="1"/>
  <c r="S67" i="4" a="1"/>
  <c r="R56" i="4" a="1"/>
  <c r="S64" i="4" a="1"/>
  <c r="S58" i="4" a="1"/>
  <c r="R71" i="4" a="1"/>
  <c r="R72" i="4" a="1"/>
  <c r="S59" i="4" a="1"/>
  <c r="R69" i="4" a="1"/>
  <c r="R61" i="4" a="1"/>
  <c r="S62" i="4" a="1"/>
  <c r="S69" i="4" a="1"/>
  <c r="R55" i="4" a="1"/>
  <c r="S68" i="4" a="1"/>
  <c r="R62" i="4" a="1"/>
  <c r="S57" i="4" a="1"/>
  <c r="S55" i="4" a="1"/>
  <c r="S66" i="4" a="1"/>
  <c r="S65" i="4" a="1"/>
  <c r="S71" i="4" a="1"/>
  <c r="R66" i="4" a="1"/>
  <c r="S72" i="4" a="1"/>
  <c r="S56" i="4" a="1"/>
  <c r="P73" i="4" a="1"/>
  <c r="R58" i="4" a="1"/>
  <c r="S60" i="4" a="1"/>
  <c r="R67" i="4" a="1"/>
  <c r="R57" i="4" a="1"/>
  <c r="R68" i="4" a="1"/>
  <c r="S63" i="4" a="1"/>
  <c r="R70" i="4" a="1"/>
  <c r="S61" i="4" a="1"/>
  <c r="R65" i="4" a="1"/>
  <c r="S70" i="4" a="1"/>
  <c r="R60" i="4" a="1"/>
  <c r="R63" i="4" a="1"/>
  <c r="R59" i="4" a="1"/>
  <c r="R64" i="4" a="1"/>
  <c r="T119" i="4" l="1"/>
  <c r="U119" i="4" s="1"/>
  <c r="V119" i="4" s="1"/>
  <c r="S120" i="4"/>
  <c r="U73" i="4"/>
  <c r="P73" i="4"/>
  <c r="R58" i="4"/>
  <c r="G79" i="4" s="1"/>
  <c r="R62" i="4"/>
  <c r="G83" i="4" s="1"/>
  <c r="R56" i="4"/>
  <c r="G77" i="4" s="1"/>
  <c r="R66" i="4"/>
  <c r="G87" i="4" s="1"/>
  <c r="R61" i="4"/>
  <c r="G82" i="4" s="1"/>
  <c r="R65" i="4"/>
  <c r="G86" i="4" s="1"/>
  <c r="R70" i="4"/>
  <c r="G91" i="4" s="1"/>
  <c r="R55" i="4"/>
  <c r="G76" i="4" s="1"/>
  <c r="R68" i="4"/>
  <c r="G89" i="4" s="1"/>
  <c r="R59" i="4"/>
  <c r="G80" i="4" s="1"/>
  <c r="R71" i="4"/>
  <c r="G92" i="4" s="1"/>
  <c r="R60" i="4"/>
  <c r="G81" i="4" s="1"/>
  <c r="R72" i="4"/>
  <c r="G93" i="4" s="1"/>
  <c r="R69" i="4"/>
  <c r="G90" i="4" s="1"/>
  <c r="R63" i="4"/>
  <c r="G84" i="4" s="1"/>
  <c r="R57" i="4"/>
  <c r="G78" i="4" s="1"/>
  <c r="R67" i="4"/>
  <c r="G88" i="4" s="1"/>
  <c r="R64" i="4"/>
  <c r="G85" i="4" s="1"/>
  <c r="F76" i="4"/>
  <c r="F77" i="4"/>
  <c r="F87" i="4"/>
  <c r="F90" i="4"/>
  <c r="F86" i="4"/>
  <c r="F91" i="4"/>
  <c r="F89" i="4"/>
  <c r="F80" i="4"/>
  <c r="F93" i="4"/>
  <c r="F78" i="4"/>
  <c r="F88" i="4"/>
  <c r="F85" i="4"/>
  <c r="F92" i="4"/>
  <c r="F81" i="4"/>
  <c r="F79" i="4"/>
  <c r="S59" i="4"/>
  <c r="T59" i="4" s="1"/>
  <c r="S56" i="4"/>
  <c r="T56" i="4" s="1"/>
  <c r="S61" i="4"/>
  <c r="T61" i="4" s="1"/>
  <c r="S55" i="4"/>
  <c r="T55" i="4" s="1"/>
  <c r="S60" i="4"/>
  <c r="T60" i="4" s="1"/>
  <c r="S57" i="4"/>
  <c r="T57" i="4" s="1"/>
  <c r="S58" i="4"/>
  <c r="T58" i="4" s="1"/>
  <c r="S62" i="4"/>
  <c r="T62" i="4" s="1"/>
  <c r="S63" i="4"/>
  <c r="T63" i="4" s="1"/>
  <c r="F84" i="4"/>
  <c r="S64" i="4"/>
  <c r="T64" i="4" s="1"/>
  <c r="S65" i="4"/>
  <c r="T65" i="4" s="1"/>
  <c r="S67" i="4"/>
  <c r="T67" i="4" s="1"/>
  <c r="S66" i="4"/>
  <c r="T66" i="4" s="1"/>
  <c r="S69" i="4"/>
  <c r="T69" i="4" s="1"/>
  <c r="S68" i="4"/>
  <c r="T68" i="4" s="1"/>
  <c r="S70" i="4"/>
  <c r="T70" i="4" s="1"/>
  <c r="S71" i="4"/>
  <c r="T71" i="4" s="1"/>
  <c r="S72" i="4"/>
  <c r="T72" i="4" s="1"/>
  <c r="F82" i="4"/>
  <c r="F83" i="4"/>
  <c r="Q73" i="4" a="1"/>
  <c r="T120" i="4" l="1"/>
  <c r="U120" i="4" s="1"/>
  <c r="V120" i="4" s="1"/>
  <c r="S121" i="4"/>
  <c r="Q73" i="4"/>
  <c r="S73" i="4" a="1"/>
  <c r="R73" i="4" a="1"/>
  <c r="T121" i="4" l="1"/>
  <c r="U121" i="4" s="1"/>
  <c r="V121" i="4" s="1"/>
  <c r="S122" i="4"/>
  <c r="R73" i="4"/>
  <c r="G94" i="4" s="1"/>
  <c r="S73" i="4"/>
  <c r="F94" i="4"/>
  <c r="T122" i="4" l="1"/>
  <c r="U122" i="4" s="1"/>
  <c r="V122" i="4" s="1"/>
  <c r="S123" i="4"/>
  <c r="T73" i="4"/>
  <c r="T87" i="4" s="1"/>
  <c r="U85" i="4"/>
  <c r="T123" i="4" l="1"/>
  <c r="U123" i="4" s="1"/>
  <c r="V123" i="4" s="1"/>
  <c r="S124" i="4"/>
  <c r="T124" i="4" l="1"/>
  <c r="U124" i="4" s="1"/>
  <c r="V124" i="4" s="1"/>
  <c r="S125" i="4"/>
  <c r="T125" i="4" l="1"/>
  <c r="U125" i="4" s="1"/>
  <c r="V125" i="4" s="1"/>
  <c r="S126" i="4"/>
  <c r="T126" i="4" l="1"/>
  <c r="U126" i="4" s="1"/>
  <c r="V126" i="4" s="1"/>
  <c r="S127" i="4"/>
  <c r="T127" i="4" l="1"/>
  <c r="U127" i="4" s="1"/>
  <c r="V127" i="4" s="1"/>
  <c r="S128" i="4"/>
  <c r="T128" i="4" l="1"/>
  <c r="U128" i="4" s="1"/>
  <c r="V128" i="4" s="1"/>
  <c r="S129" i="4"/>
  <c r="T129" i="4" l="1"/>
  <c r="U129" i="4" s="1"/>
  <c r="V129" i="4" s="1"/>
  <c r="S130" i="4"/>
  <c r="T130" i="4" l="1"/>
  <c r="U130" i="4" s="1"/>
  <c r="V130" i="4" s="1"/>
  <c r="S131" i="4"/>
  <c r="T131" i="4" l="1"/>
  <c r="U131" i="4" s="1"/>
  <c r="V131" i="4" s="1"/>
  <c r="S132" i="4"/>
  <c r="T132" i="4" l="1"/>
  <c r="U132" i="4" s="1"/>
  <c r="V132" i="4" s="1"/>
  <c r="S133" i="4"/>
  <c r="T133" i="4" l="1"/>
  <c r="U133" i="4" s="1"/>
  <c r="V133" i="4" s="1"/>
  <c r="S134" i="4"/>
  <c r="T134" i="4" l="1"/>
  <c r="U134" i="4" s="1"/>
  <c r="V134" i="4" s="1"/>
  <c r="S135" i="4"/>
  <c r="T135" i="4" l="1"/>
  <c r="U135" i="4" s="1"/>
  <c r="V135" i="4" s="1"/>
  <c r="S136" i="4"/>
  <c r="T136" i="4" l="1"/>
  <c r="U136" i="4" s="1"/>
  <c r="V136" i="4" s="1"/>
  <c r="S137" i="4"/>
  <c r="T137" i="4" l="1"/>
  <c r="U137" i="4" s="1"/>
  <c r="V137" i="4" s="1"/>
  <c r="S138" i="4"/>
  <c r="T138" i="4" l="1"/>
  <c r="U138" i="4" s="1"/>
  <c r="V138" i="4" s="1"/>
  <c r="S139" i="4"/>
  <c r="T139" i="4" l="1"/>
  <c r="U139" i="4" s="1"/>
  <c r="V139" i="4" s="1"/>
  <c r="S140" i="4"/>
  <c r="T140" i="4" l="1"/>
  <c r="U140" i="4" s="1"/>
  <c r="V140" i="4" s="1"/>
  <c r="S141" i="4"/>
  <c r="T141" i="4" l="1"/>
  <c r="U141" i="4" s="1"/>
  <c r="V141" i="4" s="1"/>
  <c r="S142" i="4"/>
  <c r="T142" i="4" l="1"/>
  <c r="U142" i="4" s="1"/>
  <c r="V142" i="4" s="1"/>
  <c r="S143" i="4"/>
  <c r="T143" i="4" l="1"/>
  <c r="U143" i="4" s="1"/>
  <c r="V143" i="4" s="1"/>
  <c r="S144" i="4"/>
  <c r="T144" i="4" l="1"/>
  <c r="U144" i="4" s="1"/>
  <c r="V144" i="4" s="1"/>
  <c r="S145" i="4"/>
  <c r="T145" i="4" l="1"/>
  <c r="U145" i="4" s="1"/>
  <c r="V145" i="4" s="1"/>
  <c r="S146" i="4"/>
  <c r="T146" i="4" l="1"/>
  <c r="U146" i="4" s="1"/>
  <c r="V146" i="4" s="1"/>
  <c r="S147" i="4"/>
  <c r="T147" i="4" l="1"/>
  <c r="U147" i="4" s="1"/>
  <c r="V147" i="4" s="1"/>
  <c r="S148" i="4"/>
  <c r="T148" i="4" l="1"/>
  <c r="U148" i="4" s="1"/>
  <c r="V148" i="4" s="1"/>
  <c r="S149" i="4"/>
  <c r="T149" i="4" l="1"/>
  <c r="U149" i="4" s="1"/>
  <c r="V149" i="4" s="1"/>
  <c r="S150" i="4"/>
  <c r="T150" i="4" l="1"/>
  <c r="U150" i="4" s="1"/>
  <c r="V150" i="4" s="1"/>
  <c r="S151" i="4"/>
  <c r="T151" i="4" l="1"/>
  <c r="U151" i="4"/>
  <c r="V151" i="4" s="1"/>
  <c r="S152" i="4"/>
  <c r="T152" i="4" l="1"/>
  <c r="U152" i="4" s="1"/>
  <c r="V152" i="4" s="1"/>
  <c r="S153" i="4"/>
  <c r="T153" i="4" l="1"/>
  <c r="U153" i="4" s="1"/>
  <c r="V153" i="4" s="1"/>
  <c r="S154" i="4"/>
  <c r="T154" i="4" l="1"/>
  <c r="S155" i="4"/>
  <c r="U154" i="4"/>
  <c r="V154" i="4" s="1"/>
  <c r="T155" i="4" l="1"/>
  <c r="U155" i="4"/>
  <c r="V155" i="4" s="1"/>
  <c r="S156" i="4"/>
  <c r="T156" i="4" l="1"/>
  <c r="S157" i="4"/>
  <c r="U156" i="4"/>
  <c r="V156" i="4" s="1"/>
  <c r="T157" i="4" l="1"/>
  <c r="U157" i="4"/>
  <c r="V157" i="4" s="1"/>
  <c r="S158" i="4"/>
  <c r="T158" i="4" l="1"/>
  <c r="U158" i="4"/>
  <c r="V158" i="4" s="1"/>
  <c r="S159" i="4"/>
  <c r="T159" i="4" l="1"/>
  <c r="U159" i="4"/>
  <c r="V159" i="4" s="1"/>
  <c r="S160" i="4"/>
  <c r="T160" i="4" l="1"/>
  <c r="U160" i="4"/>
  <c r="V160" i="4" s="1"/>
  <c r="S161" i="4"/>
  <c r="T161" i="4" l="1"/>
  <c r="U161" i="4"/>
  <c r="V161" i="4" s="1"/>
  <c r="S162" i="4"/>
  <c r="T162" i="4" l="1"/>
  <c r="S163" i="4"/>
  <c r="U162" i="4"/>
  <c r="V162" i="4" s="1"/>
  <c r="T163" i="4" l="1"/>
  <c r="U163" i="4"/>
  <c r="V163" i="4" s="1"/>
  <c r="S164" i="4"/>
  <c r="T164" i="4" l="1"/>
  <c r="U164" i="4"/>
  <c r="V164" i="4" s="1"/>
  <c r="S165" i="4"/>
  <c r="T165" i="4" l="1"/>
  <c r="U165" i="4"/>
  <c r="V165" i="4" s="1"/>
  <c r="S166" i="4"/>
  <c r="T166" i="4" l="1"/>
  <c r="U166" i="4"/>
  <c r="V166" i="4" s="1"/>
  <c r="S167" i="4"/>
  <c r="T167" i="4" l="1"/>
  <c r="U167" i="4"/>
  <c r="V167" i="4" s="1"/>
  <c r="S168" i="4"/>
  <c r="T168" i="4" l="1"/>
  <c r="U168" i="4"/>
  <c r="V168" i="4" s="1"/>
  <c r="S169" i="4"/>
  <c r="T169" i="4" l="1"/>
  <c r="U169" i="4"/>
  <c r="V169" i="4" s="1"/>
  <c r="S170" i="4"/>
  <c r="T170" i="4" l="1"/>
  <c r="U170" i="4"/>
  <c r="V170" i="4" s="1"/>
  <c r="S171" i="4"/>
  <c r="T171" i="4" l="1"/>
  <c r="U171" i="4"/>
  <c r="V171" i="4" s="1"/>
  <c r="S172" i="4"/>
  <c r="T172" i="4" l="1"/>
  <c r="S173" i="4"/>
  <c r="U172" i="4"/>
  <c r="V172" i="4" s="1"/>
  <c r="T173" i="4" l="1"/>
  <c r="U173" i="4"/>
  <c r="V173" i="4" s="1"/>
  <c r="S174" i="4"/>
  <c r="T174" i="4" l="1"/>
  <c r="U174" i="4"/>
  <c r="V174" i="4" s="1"/>
  <c r="S175" i="4"/>
  <c r="T175" i="4" l="1"/>
  <c r="U175" i="4"/>
  <c r="V175" i="4" s="1"/>
  <c r="S176" i="4"/>
  <c r="T176" i="4" l="1"/>
  <c r="U176" i="4"/>
  <c r="V176" i="4" s="1"/>
  <c r="S177" i="4"/>
  <c r="T177" i="4" l="1"/>
  <c r="U177" i="4"/>
  <c r="V177" i="4" s="1"/>
  <c r="S178" i="4"/>
  <c r="T178" i="4" l="1"/>
  <c r="S179" i="4"/>
  <c r="U178" i="4"/>
  <c r="V178" i="4" s="1"/>
  <c r="T179" i="4" l="1"/>
  <c r="U179" i="4"/>
  <c r="V179" i="4" s="1"/>
  <c r="S180" i="4"/>
  <c r="T180" i="4" l="1"/>
  <c r="U180" i="4"/>
  <c r="V180" i="4" s="1"/>
  <c r="S181" i="4"/>
  <c r="T181" i="4" l="1"/>
  <c r="U181" i="4"/>
  <c r="V181" i="4" s="1"/>
  <c r="S182" i="4"/>
  <c r="T182" i="4" l="1"/>
  <c r="U182" i="4"/>
  <c r="V182" i="4" s="1"/>
  <c r="S183" i="4"/>
  <c r="T183" i="4" l="1"/>
  <c r="U183" i="4"/>
  <c r="V183" i="4" s="1"/>
  <c r="S184" i="4"/>
  <c r="T184" i="4" l="1"/>
  <c r="U184" i="4"/>
  <c r="V184" i="4" s="1"/>
  <c r="S185" i="4"/>
  <c r="T185" i="4" l="1"/>
  <c r="U185" i="4"/>
  <c r="V185" i="4" s="1"/>
  <c r="S186" i="4"/>
  <c r="T186" i="4" l="1"/>
  <c r="S187" i="4"/>
  <c r="U186" i="4"/>
  <c r="V186" i="4" s="1"/>
  <c r="T187" i="4" l="1"/>
  <c r="U187" i="4"/>
  <c r="V187" i="4" s="1"/>
  <c r="S188" i="4"/>
  <c r="T188" i="4" l="1"/>
  <c r="S189" i="4"/>
  <c r="U188" i="4"/>
  <c r="V188" i="4" s="1"/>
  <c r="T189" i="4" l="1"/>
  <c r="U189" i="4"/>
  <c r="V189" i="4" s="1"/>
  <c r="S190" i="4"/>
  <c r="T190" i="4" l="1"/>
  <c r="U190" i="4"/>
  <c r="V190" i="4" s="1"/>
  <c r="S191" i="4"/>
  <c r="T191" i="4" l="1"/>
  <c r="U191" i="4"/>
  <c r="V191" i="4" s="1"/>
  <c r="S192" i="4"/>
  <c r="T192" i="4" l="1"/>
  <c r="U192" i="4"/>
  <c r="V192" i="4" s="1"/>
  <c r="S193" i="4"/>
  <c r="T193" i="4" l="1"/>
  <c r="U193" i="4"/>
  <c r="V193" i="4" s="1"/>
  <c r="S194" i="4"/>
  <c r="T194" i="4" l="1"/>
  <c r="S195" i="4"/>
  <c r="U194" i="4"/>
  <c r="V194" i="4" s="1"/>
  <c r="T195" i="4" l="1"/>
  <c r="U195" i="4"/>
  <c r="V195" i="4" s="1"/>
  <c r="S196" i="4"/>
  <c r="T196" i="4" l="1"/>
  <c r="U196" i="4"/>
  <c r="V196" i="4" s="1"/>
  <c r="S197" i="4"/>
  <c r="T197" i="4" l="1"/>
  <c r="U197" i="4"/>
  <c r="V197" i="4" s="1"/>
  <c r="S198" i="4"/>
  <c r="T198" i="4" l="1"/>
  <c r="U198" i="4"/>
  <c r="V198" i="4" s="1"/>
  <c r="S199" i="4"/>
  <c r="T199" i="4" l="1"/>
  <c r="U199" i="4"/>
  <c r="V199" i="4" s="1"/>
  <c r="S200" i="4"/>
  <c r="T200" i="4" l="1"/>
  <c r="U200" i="4"/>
  <c r="V200" i="4" s="1"/>
  <c r="S201" i="4"/>
  <c r="T201" i="4" l="1"/>
  <c r="U201" i="4"/>
  <c r="V201" i="4" s="1"/>
  <c r="S202" i="4"/>
  <c r="T202" i="4" l="1"/>
  <c r="S203" i="4"/>
  <c r="U202" i="4"/>
  <c r="V202" i="4" s="1"/>
  <c r="T203" i="4" l="1"/>
  <c r="U203" i="4"/>
  <c r="V203" i="4" s="1"/>
  <c r="S204" i="4"/>
  <c r="T204" i="4" l="1"/>
  <c r="S205" i="4"/>
  <c r="U204" i="4"/>
  <c r="V204" i="4" s="1"/>
  <c r="T205" i="4" l="1"/>
  <c r="U205" i="4"/>
  <c r="V205" i="4" s="1"/>
  <c r="S206" i="4"/>
  <c r="T206" i="4" l="1"/>
  <c r="U206" i="4"/>
  <c r="V206" i="4" s="1"/>
  <c r="S207" i="4"/>
  <c r="T207" i="4" l="1"/>
  <c r="U207" i="4"/>
  <c r="V207" i="4" s="1"/>
  <c r="S208" i="4"/>
  <c r="T208" i="4" l="1"/>
  <c r="U208" i="4"/>
  <c r="V208" i="4" s="1"/>
  <c r="S209" i="4"/>
  <c r="T209" i="4" l="1"/>
  <c r="U209" i="4"/>
  <c r="V209" i="4" s="1"/>
  <c r="S210" i="4"/>
  <c r="T210" i="4" l="1"/>
  <c r="S211" i="4"/>
  <c r="U210" i="4"/>
  <c r="V210" i="4" s="1"/>
  <c r="T211" i="4" l="1"/>
  <c r="U211" i="4"/>
  <c r="V211" i="4" s="1"/>
  <c r="S212" i="4"/>
  <c r="T212" i="4" l="1"/>
  <c r="U212" i="4"/>
  <c r="V212" i="4" s="1"/>
  <c r="S213" i="4"/>
  <c r="T213" i="4" l="1"/>
  <c r="U213" i="4"/>
  <c r="V213" i="4" s="1"/>
  <c r="S214" i="4"/>
  <c r="T214" i="4" l="1"/>
  <c r="U214" i="4"/>
  <c r="V214" i="4" s="1"/>
  <c r="S215" i="4"/>
  <c r="T215" i="4" l="1"/>
  <c r="U215" i="4"/>
  <c r="V215" i="4" s="1"/>
  <c r="S216" i="4"/>
  <c r="T216" i="4" l="1"/>
  <c r="U216" i="4"/>
  <c r="V216" i="4" s="1"/>
  <c r="S217" i="4"/>
  <c r="T217" i="4" l="1"/>
  <c r="U217" i="4"/>
  <c r="V217" i="4" s="1"/>
  <c r="S218" i="4"/>
  <c r="T218" i="4" l="1"/>
  <c r="U218" i="4"/>
  <c r="V218" i="4" s="1"/>
  <c r="S219" i="4"/>
  <c r="T219" i="4" l="1"/>
  <c r="U219" i="4"/>
  <c r="V219" i="4" s="1"/>
  <c r="S220" i="4"/>
  <c r="T220" i="4" l="1"/>
  <c r="S221" i="4"/>
  <c r="U220" i="4"/>
  <c r="V220" i="4" s="1"/>
  <c r="T221" i="4" l="1"/>
  <c r="U221" i="4"/>
  <c r="V221" i="4" s="1"/>
  <c r="S222" i="4"/>
  <c r="T222" i="4" l="1"/>
  <c r="U222" i="4"/>
  <c r="V222" i="4" s="1"/>
  <c r="S223" i="4"/>
  <c r="T223" i="4" l="1"/>
  <c r="U223" i="4"/>
  <c r="V223" i="4" s="1"/>
  <c r="S224" i="4"/>
  <c r="T224" i="4" l="1"/>
  <c r="U224" i="4"/>
  <c r="V224" i="4" s="1"/>
  <c r="S225" i="4"/>
  <c r="T225" i="4" l="1"/>
  <c r="U225" i="4"/>
  <c r="V225" i="4" s="1"/>
  <c r="S226" i="4"/>
  <c r="T226" i="4" l="1"/>
  <c r="S227" i="4"/>
  <c r="U226" i="4"/>
  <c r="V226" i="4" s="1"/>
  <c r="T227" i="4" l="1"/>
  <c r="U227" i="4"/>
  <c r="V227" i="4" s="1"/>
  <c r="S228" i="4"/>
  <c r="T228" i="4" l="1"/>
  <c r="U228" i="4"/>
  <c r="V228" i="4" s="1"/>
  <c r="S229" i="4"/>
  <c r="T229" i="4" l="1"/>
  <c r="U229" i="4"/>
  <c r="V229" i="4" s="1"/>
  <c r="S230" i="4"/>
  <c r="T230" i="4" l="1"/>
  <c r="U230" i="4"/>
  <c r="V230" i="4" s="1"/>
  <c r="S231" i="4"/>
  <c r="T231" i="4" l="1"/>
  <c r="U231" i="4"/>
  <c r="V231" i="4" s="1"/>
  <c r="S232" i="4"/>
  <c r="T232" i="4" l="1"/>
  <c r="U232" i="4"/>
  <c r="V232" i="4" s="1"/>
  <c r="S233" i="4"/>
  <c r="T233" i="4" l="1"/>
  <c r="U233" i="4"/>
  <c r="V233" i="4" s="1"/>
  <c r="S234" i="4"/>
  <c r="T234" i="4" l="1"/>
  <c r="S235" i="4"/>
  <c r="U234" i="4"/>
  <c r="V234" i="4" s="1"/>
  <c r="T235" i="4" l="1"/>
  <c r="U235" i="4"/>
  <c r="V235" i="4" s="1"/>
  <c r="S236" i="4"/>
  <c r="T236" i="4" l="1"/>
  <c r="S237" i="4"/>
  <c r="U236" i="4"/>
  <c r="V236" i="4" s="1"/>
  <c r="T237" i="4" l="1"/>
  <c r="U237" i="4"/>
  <c r="V237" i="4" s="1"/>
  <c r="S238" i="4"/>
  <c r="T238" i="4" l="1"/>
  <c r="U238" i="4"/>
  <c r="V238" i="4" s="1"/>
  <c r="S239" i="4"/>
  <c r="T239" i="4" l="1"/>
  <c r="U239" i="4"/>
  <c r="V239" i="4" s="1"/>
  <c r="S240" i="4"/>
  <c r="T240" i="4" l="1"/>
  <c r="U240" i="4"/>
  <c r="V240" i="4" s="1"/>
  <c r="S241" i="4"/>
  <c r="T241" i="4" l="1"/>
  <c r="U241" i="4"/>
  <c r="V241" i="4" s="1"/>
  <c r="S242" i="4"/>
  <c r="T242" i="4" l="1"/>
  <c r="S243" i="4"/>
  <c r="U242" i="4"/>
  <c r="V242" i="4" s="1"/>
  <c r="T243" i="4" l="1"/>
  <c r="U243" i="4"/>
  <c r="V243" i="4" s="1"/>
  <c r="S244" i="4"/>
  <c r="T244" i="4" l="1"/>
  <c r="U244" i="4"/>
  <c r="V244" i="4" s="1"/>
  <c r="S245" i="4"/>
  <c r="T245" i="4" l="1"/>
  <c r="U245" i="4"/>
  <c r="V245" i="4" s="1"/>
  <c r="S246" i="4"/>
  <c r="S247" i="4" l="1"/>
  <c r="T246" i="4"/>
  <c r="U246" i="4"/>
  <c r="V246" i="4" s="1"/>
  <c r="U247" i="4" l="1"/>
  <c r="V247" i="4" s="1"/>
  <c r="S248" i="4"/>
  <c r="T247" i="4"/>
  <c r="T248" i="4" l="1"/>
  <c r="U248" i="4"/>
  <c r="V248" i="4" s="1"/>
  <c r="S249" i="4"/>
  <c r="U249" i="4" l="1"/>
  <c r="V249" i="4" s="1"/>
  <c r="S250" i="4"/>
  <c r="T249" i="4"/>
  <c r="U250" i="4" l="1"/>
  <c r="V250" i="4" s="1"/>
  <c r="S251" i="4"/>
  <c r="T250" i="4"/>
  <c r="U251" i="4" l="1"/>
  <c r="V251" i="4" s="1"/>
  <c r="S252" i="4"/>
  <c r="T251" i="4"/>
  <c r="U252" i="4" l="1"/>
  <c r="V252" i="4" s="1"/>
  <c r="T252" i="4"/>
  <c r="S253" i="4"/>
  <c r="U253" i="4" l="1"/>
  <c r="V253" i="4" s="1"/>
  <c r="S254" i="4"/>
  <c r="T253" i="4"/>
  <c r="T254" i="4" l="1"/>
  <c r="U254" i="4"/>
  <c r="V254" i="4" s="1"/>
  <c r="S255" i="4"/>
  <c r="U255" i="4" l="1"/>
  <c r="V255" i="4" s="1"/>
  <c r="S256" i="4"/>
  <c r="T255" i="4"/>
  <c r="S257" i="4" l="1"/>
  <c r="T256" i="4"/>
  <c r="U256" i="4"/>
  <c r="V256" i="4" s="1"/>
  <c r="S258" i="4" l="1"/>
  <c r="T257" i="4"/>
  <c r="U257" i="4"/>
  <c r="V257" i="4" s="1"/>
  <c r="S259" i="4" l="1"/>
  <c r="T258" i="4"/>
  <c r="U258" i="4"/>
  <c r="V258" i="4" s="1"/>
  <c r="S260" i="4" l="1"/>
  <c r="T259" i="4"/>
  <c r="U259" i="4"/>
  <c r="V259" i="4" s="1"/>
  <c r="T260" i="4" l="1"/>
  <c r="U260" i="4"/>
  <c r="V260" i="4" s="1"/>
  <c r="S261" i="4"/>
  <c r="S262" i="4" l="1"/>
  <c r="T261" i="4"/>
  <c r="U261" i="4"/>
  <c r="V261" i="4" s="1"/>
  <c r="T262" i="4" l="1"/>
  <c r="U262" i="4"/>
  <c r="V262" i="4" s="1"/>
  <c r="S263" i="4"/>
  <c r="U263" i="4" l="1"/>
  <c r="V263" i="4" s="1"/>
  <c r="S264" i="4"/>
  <c r="T263" i="4"/>
  <c r="T264" i="4" l="1"/>
  <c r="U264" i="4"/>
  <c r="V264" i="4" s="1"/>
  <c r="S265" i="4"/>
  <c r="U265" i="4" l="1"/>
  <c r="V265" i="4" s="1"/>
  <c r="S266" i="4"/>
  <c r="T265" i="4"/>
  <c r="T266" i="4" l="1"/>
  <c r="U266" i="4"/>
  <c r="V266" i="4" s="1"/>
  <c r="S267" i="4"/>
  <c r="U267" i="4" l="1"/>
  <c r="V267" i="4" s="1"/>
  <c r="S268" i="4"/>
  <c r="T267" i="4"/>
  <c r="T268" i="4" l="1"/>
  <c r="U268" i="4"/>
  <c r="V268" i="4" s="1"/>
  <c r="S269" i="4"/>
  <c r="U269" i="4" l="1"/>
  <c r="V269" i="4" s="1"/>
  <c r="S270" i="4"/>
  <c r="T269" i="4"/>
  <c r="T270" i="4" l="1"/>
  <c r="U270" i="4"/>
  <c r="V270" i="4" s="1"/>
  <c r="S271" i="4"/>
  <c r="U271" i="4" l="1"/>
  <c r="V271" i="4" s="1"/>
  <c r="S272" i="4"/>
  <c r="T271" i="4"/>
  <c r="T272" i="4" l="1"/>
  <c r="U272" i="4"/>
  <c r="V272" i="4" s="1"/>
  <c r="S273" i="4"/>
  <c r="U273" i="4" l="1"/>
  <c r="V273" i="4" s="1"/>
  <c r="S274" i="4"/>
  <c r="T273" i="4"/>
  <c r="T274" i="4" l="1"/>
  <c r="U274" i="4"/>
  <c r="V274" i="4" s="1"/>
  <c r="S275" i="4"/>
  <c r="U275" i="4" l="1"/>
  <c r="V275" i="4" s="1"/>
  <c r="S276" i="4"/>
  <c r="T275" i="4"/>
  <c r="T276" i="4" l="1"/>
  <c r="U276" i="4"/>
  <c r="V276" i="4" s="1"/>
  <c r="S277" i="4"/>
  <c r="U277" i="4" l="1"/>
  <c r="V277" i="4" s="1"/>
  <c r="S278" i="4"/>
  <c r="T277" i="4"/>
  <c r="T278" i="4" l="1"/>
  <c r="U278" i="4"/>
  <c r="V278" i="4" s="1"/>
  <c r="S279" i="4"/>
  <c r="U279" i="4" l="1"/>
  <c r="V279" i="4" s="1"/>
  <c r="S280" i="4"/>
  <c r="T279" i="4"/>
  <c r="T280" i="4" l="1"/>
  <c r="U280" i="4"/>
  <c r="V280" i="4" s="1"/>
  <c r="S281" i="4"/>
  <c r="U281" i="4" l="1"/>
  <c r="V281" i="4" s="1"/>
  <c r="S282" i="4"/>
  <c r="T281" i="4"/>
  <c r="T282" i="4" l="1"/>
  <c r="U282" i="4"/>
  <c r="V282" i="4" s="1"/>
  <c r="S283" i="4"/>
  <c r="U283" i="4" l="1"/>
  <c r="V283" i="4" s="1"/>
  <c r="S284" i="4"/>
  <c r="T283" i="4"/>
  <c r="T284" i="4" l="1"/>
  <c r="U284" i="4"/>
  <c r="V284" i="4" s="1"/>
  <c r="S285" i="4"/>
  <c r="U285" i="4" l="1"/>
  <c r="V285" i="4" s="1"/>
  <c r="S286" i="4"/>
  <c r="T285" i="4"/>
  <c r="T286" i="4" l="1"/>
  <c r="U286" i="4"/>
  <c r="V286" i="4" s="1"/>
  <c r="S287" i="4"/>
  <c r="U287" i="4" l="1"/>
  <c r="V287" i="4" s="1"/>
  <c r="S288" i="4"/>
  <c r="T287" i="4"/>
  <c r="T288" i="4" l="1"/>
  <c r="U288" i="4"/>
  <c r="V288" i="4" s="1"/>
  <c r="S289" i="4"/>
  <c r="U289" i="4" l="1"/>
  <c r="V289" i="4" s="1"/>
  <c r="S290" i="4"/>
  <c r="T289" i="4"/>
  <c r="T290" i="4" l="1"/>
  <c r="U290" i="4"/>
  <c r="V290" i="4" s="1"/>
  <c r="S291" i="4"/>
  <c r="U291" i="4" l="1"/>
  <c r="V291" i="4" s="1"/>
  <c r="S292" i="4"/>
  <c r="T291" i="4"/>
  <c r="T292" i="4" l="1"/>
  <c r="U292" i="4"/>
  <c r="V292" i="4" s="1"/>
  <c r="S293" i="4"/>
  <c r="U293" i="4" l="1"/>
  <c r="V293" i="4" s="1"/>
  <c r="S294" i="4"/>
  <c r="T293" i="4"/>
  <c r="T294" i="4" l="1"/>
  <c r="U294" i="4"/>
  <c r="V294" i="4" s="1"/>
  <c r="S295" i="4"/>
  <c r="U295" i="4" l="1"/>
  <c r="V295" i="4" s="1"/>
  <c r="S296" i="4"/>
  <c r="T295" i="4"/>
  <c r="T296" i="4" l="1"/>
  <c r="U296" i="4"/>
  <c r="V296" i="4" s="1"/>
  <c r="S297" i="4"/>
  <c r="U297" i="4" l="1"/>
  <c r="V297" i="4" s="1"/>
  <c r="S298" i="4"/>
  <c r="T297" i="4"/>
  <c r="T298" i="4" l="1"/>
  <c r="U298" i="4"/>
  <c r="V298" i="4" s="1"/>
  <c r="S299" i="4"/>
  <c r="U299" i="4" l="1"/>
  <c r="V299" i="4" s="1"/>
  <c r="S300" i="4"/>
  <c r="T299" i="4"/>
  <c r="T300" i="4" l="1"/>
  <c r="U300" i="4"/>
  <c r="V300" i="4" s="1"/>
  <c r="S301" i="4"/>
  <c r="U301" i="4" l="1"/>
  <c r="V301" i="4" s="1"/>
  <c r="S302" i="4"/>
  <c r="T301" i="4"/>
  <c r="T302" i="4" l="1"/>
  <c r="U302" i="4"/>
  <c r="V302" i="4" s="1"/>
  <c r="S303" i="4"/>
  <c r="U303" i="4" l="1"/>
  <c r="V303" i="4" s="1"/>
  <c r="S304" i="4"/>
  <c r="T303" i="4"/>
  <c r="T304" i="4" l="1"/>
  <c r="U304" i="4"/>
  <c r="V304" i="4" s="1"/>
  <c r="S305" i="4"/>
  <c r="U305" i="4" l="1"/>
  <c r="V305" i="4" s="1"/>
  <c r="S306" i="4"/>
  <c r="T305" i="4"/>
  <c r="T306" i="4" l="1"/>
  <c r="U306" i="4"/>
  <c r="V306" i="4" s="1"/>
  <c r="S307" i="4"/>
  <c r="U307" i="4" l="1"/>
  <c r="V307" i="4" s="1"/>
  <c r="S308" i="4"/>
  <c r="T307" i="4"/>
  <c r="T308" i="4" l="1"/>
  <c r="U308" i="4"/>
  <c r="V308" i="4" s="1"/>
  <c r="S309" i="4"/>
  <c r="U309" i="4" l="1"/>
  <c r="V309" i="4" s="1"/>
  <c r="S310" i="4"/>
  <c r="T309" i="4"/>
  <c r="T310" i="4" l="1"/>
  <c r="U310" i="4"/>
  <c r="V310" i="4" s="1"/>
  <c r="S311" i="4"/>
  <c r="U311" i="4" l="1"/>
  <c r="V311" i="4" s="1"/>
  <c r="S312" i="4"/>
  <c r="T311" i="4"/>
  <c r="T312" i="4" l="1"/>
  <c r="U312" i="4"/>
  <c r="V312" i="4" s="1"/>
  <c r="S313" i="4"/>
  <c r="U313" i="4" l="1"/>
  <c r="V313" i="4" s="1"/>
  <c r="S314" i="4"/>
  <c r="T313" i="4"/>
  <c r="T314" i="4" l="1"/>
  <c r="U314" i="4"/>
  <c r="V314" i="4" s="1"/>
  <c r="S315" i="4"/>
  <c r="U315" i="4" l="1"/>
  <c r="V315" i="4" s="1"/>
  <c r="S316" i="4"/>
  <c r="T315" i="4"/>
  <c r="T316" i="4" l="1"/>
  <c r="U316" i="4"/>
  <c r="V316" i="4" s="1"/>
  <c r="S317" i="4"/>
  <c r="U317" i="4" l="1"/>
  <c r="V317" i="4" s="1"/>
  <c r="S318" i="4"/>
  <c r="T317" i="4"/>
  <c r="T318" i="4" l="1"/>
  <c r="U318" i="4"/>
  <c r="V318" i="4" s="1"/>
  <c r="S319" i="4"/>
  <c r="U319" i="4" l="1"/>
  <c r="V319" i="4" s="1"/>
  <c r="S320" i="4"/>
  <c r="T319" i="4"/>
  <c r="T320" i="4" l="1"/>
  <c r="U320" i="4"/>
  <c r="V320" i="4" s="1"/>
  <c r="S321" i="4"/>
  <c r="U321" i="4" l="1"/>
  <c r="V321" i="4" s="1"/>
  <c r="T321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<sst xmlns="http://schemas.openxmlformats.org/spreadsheetml/2006/main" count="275" uniqueCount="90">
  <si>
    <t>r/R</t>
  </si>
  <si>
    <t>lr</t>
  </si>
  <si>
    <t>fi</t>
  </si>
  <si>
    <t>c</t>
  </si>
  <si>
    <t>r</t>
  </si>
  <si>
    <t>theta</t>
  </si>
  <si>
    <t>P</t>
  </si>
  <si>
    <t>alpha</t>
  </si>
  <si>
    <t>CL</t>
  </si>
  <si>
    <t>CD</t>
  </si>
  <si>
    <t>CD/CL</t>
  </si>
  <si>
    <t>U</t>
  </si>
  <si>
    <t>Re</t>
  </si>
  <si>
    <t>ny</t>
  </si>
  <si>
    <t>Re = 50000</t>
  </si>
  <si>
    <t>Re = 100000</t>
  </si>
  <si>
    <t>alfa</t>
  </si>
  <si>
    <t>m/s</t>
  </si>
  <si>
    <t>omega</t>
  </si>
  <si>
    <t>rad/s</t>
  </si>
  <si>
    <t>D</t>
  </si>
  <si>
    <t xml:space="preserve">m </t>
  </si>
  <si>
    <t>TSR</t>
  </si>
  <si>
    <t>B</t>
  </si>
  <si>
    <t>a</t>
  </si>
  <si>
    <t>a'</t>
  </si>
  <si>
    <t>dr</t>
  </si>
  <si>
    <t>CP</t>
  </si>
  <si>
    <t>Betz</t>
  </si>
  <si>
    <t>Wake</t>
  </si>
  <si>
    <t>Cptot</t>
  </si>
  <si>
    <t>-</t>
  </si>
  <si>
    <t>N</t>
  </si>
  <si>
    <t>Cd</t>
  </si>
  <si>
    <t>Cl</t>
  </si>
  <si>
    <t>rpm</t>
  </si>
  <si>
    <t>m2/S</t>
  </si>
  <si>
    <t>Data</t>
  </si>
  <si>
    <t>Correlation</t>
  </si>
  <si>
    <t>W</t>
  </si>
  <si>
    <t>rh</t>
  </si>
  <si>
    <t>m</t>
  </si>
  <si>
    <t>rt</t>
  </si>
  <si>
    <t>Iterate by pressing CTRL+SHIFT+i</t>
  </si>
  <si>
    <t>Optimal points, these are for fitting the funtions</t>
  </si>
  <si>
    <t>CP a'</t>
  </si>
  <si>
    <t>Utip</t>
  </si>
  <si>
    <t>P, MW</t>
  </si>
  <si>
    <t>MW</t>
  </si>
  <si>
    <t>Lb</t>
  </si>
  <si>
    <t>1/min</t>
  </si>
  <si>
    <t>Prated</t>
  </si>
  <si>
    <t>Cp</t>
  </si>
  <si>
    <t>At rated power and wind</t>
  </si>
  <si>
    <t>b</t>
  </si>
  <si>
    <t>c=a * r/R + b</t>
  </si>
  <si>
    <t>Equation for the chord, line through r/R=0.7 and 0.9 points.</t>
  </si>
  <si>
    <t xml:space="preserve">Re, 10^6 </t>
  </si>
  <si>
    <t>Optimal points, these are for fitting the funtions, used in the shape prediction</t>
  </si>
  <si>
    <t>At Re = 1e6, this is used only for performance prediction.-</t>
  </si>
  <si>
    <t>Performance prediction</t>
  </si>
  <si>
    <t>λ</t>
  </si>
  <si>
    <t>CT</t>
  </si>
  <si>
    <t>For plotting</t>
  </si>
  <si>
    <t>F</t>
  </si>
  <si>
    <t>σ</t>
  </si>
  <si>
    <t>Relaxation parameters</t>
  </si>
  <si>
    <t>Press</t>
  </si>
  <si>
    <t>"CTRL"+"I" to</t>
  </si>
  <si>
    <t>iterate</t>
  </si>
  <si>
    <t xml:space="preserve">Copy new guess </t>
  </si>
  <si>
    <t>On/Off</t>
  </si>
  <si>
    <t>Turn on/off tip loss calculation on in the a/a'</t>
  </si>
  <si>
    <t>iteration 1=on, 0 = off</t>
  </si>
  <si>
    <t>values a and a' from above here</t>
  </si>
  <si>
    <t>Sum</t>
  </si>
  <si>
    <t>Mika Järvinen</t>
  </si>
  <si>
    <t>Aalto University</t>
  </si>
  <si>
    <t>Designing energy systems within planetary boundaries - A textbook for energy engineers</t>
  </si>
  <si>
    <t xml:space="preserve"> 26.6.2024 </t>
  </si>
  <si>
    <t>Quess values</t>
  </si>
  <si>
    <t>Calculated values, these are copied as new quess values</t>
  </si>
  <si>
    <t>Calculated values, copy to new quess values</t>
  </si>
  <si>
    <t>lambda</t>
  </si>
  <si>
    <r>
      <t>U</t>
    </r>
    <r>
      <rPr>
        <vertAlign val="subscript"/>
        <sz val="11"/>
        <color theme="1"/>
        <rFont val="Calibri"/>
        <family val="2"/>
      </rPr>
      <t>∞</t>
    </r>
  </si>
  <si>
    <t>rho</t>
  </si>
  <si>
    <t>R</t>
  </si>
  <si>
    <t>°</t>
  </si>
  <si>
    <t>kg/m3</t>
  </si>
  <si>
    <t>Chapter 5. Blade design examples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</si>
</sst>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"/>
  </numFmts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quotePrefix="1" applyFont="1"/>
    <xf numFmtId="0" fontId="3" fillId="0" borderId="0" xfId="0" applyFont="1"/>
    <xf numFmtId="164" fontId="0" fillId="0" borderId="0" xfId="0" applyNumberFormat="1" applyFont="1"/>
    <xf numFmtId="165" fontId="0" fillId="0" borderId="0" xfId="0" applyNumberFormat="1" applyFont="1"/>
    <xf numFmtId="0" fontId="0" fillId="0" borderId="2" xfId="0" applyFont="1" applyBorder="1"/>
    <xf numFmtId="0" fontId="0" fillId="0" borderId="2" xfId="0" applyFont="1" applyBorder="1" applyAlignment="1">
      <alignment horizontal="right"/>
    </xf>
    <xf numFmtId="165" fontId="0" fillId="0" borderId="2" xfId="0" applyNumberFormat="1" applyBorder="1"/>
    <xf numFmtId="164" fontId="0" fillId="0" borderId="2" xfId="0" applyNumberFormat="1" applyFont="1" applyBorder="1"/>
    <xf numFmtId="0" fontId="3" fillId="0" borderId="2" xfId="0" applyFont="1" applyBorder="1" applyAlignment="1">
      <alignment horizontal="right" vertical="center"/>
    </xf>
    <xf numFmtId="165" fontId="0" fillId="0" borderId="2" xfId="0" applyNumberFormat="1" applyFont="1" applyBorder="1"/>
    <xf numFmtId="1" fontId="0" fillId="0" borderId="2" xfId="0" applyNumberFormat="1" applyFont="1" applyBorder="1"/>
    <xf numFmtId="165" fontId="1" fillId="0" borderId="2" xfId="0" applyNumberFormat="1" applyFont="1" applyBorder="1"/>
    <xf numFmtId="164" fontId="1" fillId="0" borderId="2" xfId="0" applyNumberFormat="1" applyFont="1" applyBorder="1"/>
    <xf numFmtId="0" fontId="0" fillId="0" borderId="3" xfId="0" applyFont="1" applyBorder="1" applyAlignment="1"/>
    <xf numFmtId="0" fontId="4" fillId="0" borderId="0" xfId="0" applyFont="1"/>
    <xf numFmtId="0" fontId="0" fillId="0" borderId="2" xfId="0" applyFont="1" applyFill="1" applyBorder="1"/>
    <xf numFmtId="166" fontId="0" fillId="0" borderId="0" xfId="0" applyNumberFormat="1" applyFont="1"/>
    <xf numFmtId="0" fontId="5" fillId="0" borderId="2" xfId="0" applyFont="1" applyBorder="1" applyAlignment="1">
      <alignment horizontal="right"/>
    </xf>
    <xf numFmtId="165" fontId="5" fillId="0" borderId="2" xfId="0" applyNumberFormat="1" applyFont="1" applyBorder="1" applyAlignment="1">
      <alignment horizontal="right"/>
    </xf>
    <xf numFmtId="164" fontId="5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2" fontId="0" fillId="0" borderId="0" xfId="0" applyNumberFormat="1" applyFont="1"/>
    <xf numFmtId="2" fontId="1" fillId="0" borderId="2" xfId="0" applyNumberFormat="1" applyFont="1" applyBorder="1"/>
    <xf numFmtId="165" fontId="5" fillId="0" borderId="2" xfId="0" applyNumberFormat="1" applyFont="1" applyBorder="1"/>
    <xf numFmtId="164" fontId="5" fillId="0" borderId="2" xfId="0" applyNumberFormat="1" applyFont="1" applyBorder="1"/>
    <xf numFmtId="0" fontId="0" fillId="0" borderId="0" xfId="0" applyFont="1" applyBorder="1"/>
    <xf numFmtId="2" fontId="0" fillId="0" borderId="2" xfId="0" applyNumberFormat="1" applyFont="1" applyBorder="1"/>
    <xf numFmtId="1" fontId="0" fillId="0" borderId="0" xfId="0" applyNumberFormat="1" applyFont="1"/>
    <xf numFmtId="0" fontId="0" fillId="0" borderId="2" xfId="0" applyBorder="1"/>
    <xf numFmtId="166" fontId="0" fillId="0" borderId="2" xfId="0" applyNumberFormat="1" applyFont="1" applyBorder="1"/>
    <xf numFmtId="164" fontId="0" fillId="0" borderId="2" xfId="0" applyNumberFormat="1" applyBorder="1"/>
    <xf numFmtId="166" fontId="0" fillId="0" borderId="2" xfId="0" applyNumberFormat="1" applyBorder="1"/>
    <xf numFmtId="164" fontId="0" fillId="0" borderId="0" xfId="0" applyNumberFormat="1" applyFont="1" applyBorder="1"/>
    <xf numFmtId="165" fontId="0" fillId="0" borderId="0" xfId="0" applyNumberFormat="1" applyFont="1" applyBorder="1"/>
    <xf numFmtId="165" fontId="1" fillId="0" borderId="0" xfId="0" applyNumberFormat="1" applyFont="1" applyBorder="1"/>
    <xf numFmtId="164" fontId="1" fillId="0" borderId="0" xfId="0" applyNumberFormat="1" applyFont="1" applyBorder="1"/>
    <xf numFmtId="1" fontId="0" fillId="0" borderId="0" xfId="0" applyNumberFormat="1" applyFont="1" applyBorder="1"/>
    <xf numFmtId="2" fontId="1" fillId="0" borderId="0" xfId="0" applyNumberFormat="1" applyFont="1" applyBorder="1"/>
    <xf numFmtId="0" fontId="0" fillId="0" borderId="2" xfId="0" quotePrefix="1" applyFont="1" applyBorder="1"/>
    <xf numFmtId="0" fontId="7" fillId="0" borderId="0" xfId="0" applyFont="1"/>
    <xf numFmtId="0" fontId="8" fillId="0" borderId="2" xfId="0" applyFont="1" applyBorder="1"/>
    <xf numFmtId="0" fontId="0" fillId="0" borderId="0" xfId="0" applyFont="1" applyFill="1" applyBorder="1"/>
    <xf numFmtId="0" fontId="0" fillId="0" borderId="6" xfId="0" applyFont="1" applyBorder="1"/>
    <xf numFmtId="0" fontId="0" fillId="0" borderId="1" xfId="0" applyFont="1" applyBorder="1"/>
    <xf numFmtId="164" fontId="0" fillId="0" borderId="7" xfId="0" applyNumberFormat="1" applyFont="1" applyBorder="1"/>
    <xf numFmtId="164" fontId="0" fillId="0" borderId="0" xfId="0" applyNumberFormat="1" applyFont="1" applyFill="1" applyBorder="1"/>
    <xf numFmtId="164" fontId="0" fillId="0" borderId="8" xfId="0" applyNumberFormat="1" applyFont="1" applyFill="1" applyBorder="1"/>
    <xf numFmtId="0" fontId="5" fillId="0" borderId="2" xfId="0" applyFont="1" applyBorder="1"/>
    <xf numFmtId="0" fontId="5" fillId="0" borderId="2" xfId="0" applyFont="1" applyBorder="1" applyAlignment="1">
      <alignment horizontal="left" vertical="center" readingOrder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2" borderId="0" xfId="0" applyFont="1" applyFill="1"/>
    <xf numFmtId="0" fontId="0" fillId="3" borderId="0" xfId="0" applyFont="1" applyFill="1"/>
    <xf numFmtId="0" fontId="3" fillId="0" borderId="2" xfId="0" applyFont="1" applyBorder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'Airfoil data'!$C$4</c:f>
              <c:strCache>
                <c:ptCount val="1"/>
                <c:pt idx="0">
                  <c:v>CL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'Airfoil data'!$B$5:$B$90</c:f>
              <c:numCache>
                <c:formatCode>General</c:formatCode>
                <c:ptCount val="86"/>
                <c:pt idx="0">
                  <c:v>-9.5</c:v>
                </c:pt>
                <c:pt idx="1">
                  <c:v>-9.25</c:v>
                </c:pt>
                <c:pt idx="2">
                  <c:v>-9</c:v>
                </c:pt>
                <c:pt idx="3">
                  <c:v>-8.75</c:v>
                </c:pt>
                <c:pt idx="4">
                  <c:v>-8.5</c:v>
                </c:pt>
                <c:pt idx="5">
                  <c:v>-8.25</c:v>
                </c:pt>
                <c:pt idx="6">
                  <c:v>-8</c:v>
                </c:pt>
                <c:pt idx="7">
                  <c:v>-7.75</c:v>
                </c:pt>
                <c:pt idx="8">
                  <c:v>-7.5</c:v>
                </c:pt>
                <c:pt idx="9">
                  <c:v>-7.25</c:v>
                </c:pt>
                <c:pt idx="10">
                  <c:v>-7</c:v>
                </c:pt>
                <c:pt idx="11">
                  <c:v>-6.75</c:v>
                </c:pt>
                <c:pt idx="12">
                  <c:v>-6.5</c:v>
                </c:pt>
                <c:pt idx="13">
                  <c:v>-6.25</c:v>
                </c:pt>
                <c:pt idx="14">
                  <c:v>-6</c:v>
                </c:pt>
                <c:pt idx="15">
                  <c:v>-5.75</c:v>
                </c:pt>
                <c:pt idx="16">
                  <c:v>-5.5</c:v>
                </c:pt>
                <c:pt idx="17">
                  <c:v>-5.25</c:v>
                </c:pt>
                <c:pt idx="18">
                  <c:v>-5</c:v>
                </c:pt>
                <c:pt idx="19">
                  <c:v>-4.75</c:v>
                </c:pt>
                <c:pt idx="20">
                  <c:v>-4.5</c:v>
                </c:pt>
                <c:pt idx="21">
                  <c:v>-4.25</c:v>
                </c:pt>
                <c:pt idx="22">
                  <c:v>-4</c:v>
                </c:pt>
                <c:pt idx="23">
                  <c:v>-3.75</c:v>
                </c:pt>
                <c:pt idx="24">
                  <c:v>-3.5</c:v>
                </c:pt>
                <c:pt idx="25">
                  <c:v>-3.25</c:v>
                </c:pt>
                <c:pt idx="26">
                  <c:v>-3</c:v>
                </c:pt>
                <c:pt idx="27">
                  <c:v>-2.75</c:v>
                </c:pt>
                <c:pt idx="28">
                  <c:v>-2.5</c:v>
                </c:pt>
                <c:pt idx="29">
                  <c:v>-2.25</c:v>
                </c:pt>
                <c:pt idx="30">
                  <c:v>-2</c:v>
                </c:pt>
                <c:pt idx="31">
                  <c:v>-1.75</c:v>
                </c:pt>
                <c:pt idx="32">
                  <c:v>-1.5</c:v>
                </c:pt>
                <c:pt idx="33">
                  <c:v>-1.25</c:v>
                </c:pt>
                <c:pt idx="34">
                  <c:v>-1</c:v>
                </c:pt>
                <c:pt idx="35">
                  <c:v>-0.75</c:v>
                </c:pt>
                <c:pt idx="36">
                  <c:v>-0.5</c:v>
                </c:pt>
                <c:pt idx="37">
                  <c:v>-0.25</c:v>
                </c:pt>
                <c:pt idx="38">
                  <c:v>0</c:v>
                </c:pt>
                <c:pt idx="39">
                  <c:v>0.25</c:v>
                </c:pt>
                <c:pt idx="40">
                  <c:v>0.5</c:v>
                </c:pt>
                <c:pt idx="41">
                  <c:v>0.75</c:v>
                </c:pt>
                <c:pt idx="42">
                  <c:v>1</c:v>
                </c:pt>
                <c:pt idx="43">
                  <c:v>1.25</c:v>
                </c:pt>
                <c:pt idx="44">
                  <c:v>1.5</c:v>
                </c:pt>
                <c:pt idx="45">
                  <c:v>1.75</c:v>
                </c:pt>
                <c:pt idx="46">
                  <c:v>2</c:v>
                </c:pt>
                <c:pt idx="47">
                  <c:v>2.25</c:v>
                </c:pt>
                <c:pt idx="48">
                  <c:v>2.5</c:v>
                </c:pt>
                <c:pt idx="49">
                  <c:v>2.75</c:v>
                </c:pt>
                <c:pt idx="50">
                  <c:v>3</c:v>
                </c:pt>
                <c:pt idx="51">
                  <c:v>3.25</c:v>
                </c:pt>
                <c:pt idx="52">
                  <c:v>3.5</c:v>
                </c:pt>
                <c:pt idx="53">
                  <c:v>3.75</c:v>
                </c:pt>
                <c:pt idx="54">
                  <c:v>4</c:v>
                </c:pt>
                <c:pt idx="55">
                  <c:v>4.25</c:v>
                </c:pt>
                <c:pt idx="56">
                  <c:v>4.5</c:v>
                </c:pt>
                <c:pt idx="57">
                  <c:v>4.75</c:v>
                </c:pt>
                <c:pt idx="58">
                  <c:v>5</c:v>
                </c:pt>
                <c:pt idx="59">
                  <c:v>5.25</c:v>
                </c:pt>
                <c:pt idx="60">
                  <c:v>5.5</c:v>
                </c:pt>
                <c:pt idx="61">
                  <c:v>5.75</c:v>
                </c:pt>
                <c:pt idx="62">
                  <c:v>6</c:v>
                </c:pt>
                <c:pt idx="63">
                  <c:v>6.25</c:v>
                </c:pt>
                <c:pt idx="64">
                  <c:v>6.5</c:v>
                </c:pt>
                <c:pt idx="65">
                  <c:v>6.75</c:v>
                </c:pt>
                <c:pt idx="66">
                  <c:v>7</c:v>
                </c:pt>
                <c:pt idx="67">
                  <c:v>7.25</c:v>
                </c:pt>
                <c:pt idx="68">
                  <c:v>7.5</c:v>
                </c:pt>
                <c:pt idx="69">
                  <c:v>7.75</c:v>
                </c:pt>
                <c:pt idx="70">
                  <c:v>8</c:v>
                </c:pt>
                <c:pt idx="71">
                  <c:v>8.25</c:v>
                </c:pt>
                <c:pt idx="72">
                  <c:v>8.5</c:v>
                </c:pt>
                <c:pt idx="73">
                  <c:v>8.75</c:v>
                </c:pt>
                <c:pt idx="74">
                  <c:v>9</c:v>
                </c:pt>
                <c:pt idx="75">
                  <c:v>9.25</c:v>
                </c:pt>
                <c:pt idx="76">
                  <c:v>9.5</c:v>
                </c:pt>
                <c:pt idx="77">
                  <c:v>9.75</c:v>
                </c:pt>
                <c:pt idx="78">
                  <c:v>10</c:v>
                </c:pt>
                <c:pt idx="79">
                  <c:v>10.25</c:v>
                </c:pt>
                <c:pt idx="80">
                  <c:v>10.5</c:v>
                </c:pt>
                <c:pt idx="81">
                  <c:v>10.75</c:v>
                </c:pt>
                <c:pt idx="82">
                  <c:v>11</c:v>
                </c:pt>
                <c:pt idx="83">
                  <c:v>11.25</c:v>
                </c:pt>
                <c:pt idx="84">
                  <c:v>11.5</c:v>
                </c:pt>
                <c:pt idx="85">
                  <c:v>11.75</c:v>
                </c:pt>
              </c:numCache>
            </c:numRef>
          </c:xVal>
          <c:yVal>
            <c:numRef>
              <c:f>'Airfoil data'!$C$5:$C$90</c:f>
              <c:numCache>
                <c:formatCode>General</c:formatCode>
                <c:ptCount val="86"/>
                <c:pt idx="0">
                  <c:v>-0.39119999999999999</c:v>
                </c:pt>
                <c:pt idx="1">
                  <c:v>-0.35299999999999998</c:v>
                </c:pt>
                <c:pt idx="2">
                  <c:v>-0.59519999999999995</c:v>
                </c:pt>
                <c:pt idx="3">
                  <c:v>-0.61460000000000004</c:v>
                </c:pt>
                <c:pt idx="4">
                  <c:v>-0.63690000000000002</c:v>
                </c:pt>
                <c:pt idx="5">
                  <c:v>-0.66139999999999999</c:v>
                </c:pt>
                <c:pt idx="6">
                  <c:v>-0.68300000000000005</c:v>
                </c:pt>
                <c:pt idx="7">
                  <c:v>-0.70009999999999994</c:v>
                </c:pt>
                <c:pt idx="8">
                  <c:v>-0.69850000000000001</c:v>
                </c:pt>
                <c:pt idx="9">
                  <c:v>-0.68610000000000004</c:v>
                </c:pt>
                <c:pt idx="10">
                  <c:v>-0.68540000000000001</c:v>
                </c:pt>
                <c:pt idx="11">
                  <c:v>-0.67800000000000005</c:v>
                </c:pt>
                <c:pt idx="12">
                  <c:v>-0.66359999999999997</c:v>
                </c:pt>
                <c:pt idx="13">
                  <c:v>-0.65300000000000002</c:v>
                </c:pt>
                <c:pt idx="14">
                  <c:v>-0.63670000000000004</c:v>
                </c:pt>
                <c:pt idx="15">
                  <c:v>-0.62090000000000001</c:v>
                </c:pt>
                <c:pt idx="16">
                  <c:v>-0.60460000000000003</c:v>
                </c:pt>
                <c:pt idx="17">
                  <c:v>-0.58640000000000003</c:v>
                </c:pt>
                <c:pt idx="18">
                  <c:v>-0.56769999999999998</c:v>
                </c:pt>
                <c:pt idx="19">
                  <c:v>-0.5484</c:v>
                </c:pt>
                <c:pt idx="20">
                  <c:v>-0.52900000000000003</c:v>
                </c:pt>
                <c:pt idx="21">
                  <c:v>-0.50939999999999996</c:v>
                </c:pt>
                <c:pt idx="22">
                  <c:v>-0.48980000000000001</c:v>
                </c:pt>
                <c:pt idx="23">
                  <c:v>-0.47070000000000001</c:v>
                </c:pt>
                <c:pt idx="24">
                  <c:v>-0.45140000000000002</c:v>
                </c:pt>
                <c:pt idx="25">
                  <c:v>-0.43259999999999998</c:v>
                </c:pt>
                <c:pt idx="26">
                  <c:v>-0.41360000000000002</c:v>
                </c:pt>
                <c:pt idx="27">
                  <c:v>-0.39560000000000001</c:v>
                </c:pt>
                <c:pt idx="28">
                  <c:v>-0.37830000000000003</c:v>
                </c:pt>
                <c:pt idx="29">
                  <c:v>-0.36180000000000001</c:v>
                </c:pt>
                <c:pt idx="30">
                  <c:v>-0.34620000000000001</c:v>
                </c:pt>
                <c:pt idx="31">
                  <c:v>-0.33279999999999998</c:v>
                </c:pt>
                <c:pt idx="32">
                  <c:v>-0.32229999999999998</c:v>
                </c:pt>
                <c:pt idx="33">
                  <c:v>-0.28810000000000002</c:v>
                </c:pt>
                <c:pt idx="34">
                  <c:v>-0.129</c:v>
                </c:pt>
                <c:pt idx="35">
                  <c:v>-5.6399999999999999E-2</c:v>
                </c:pt>
                <c:pt idx="36">
                  <c:v>-2.9499999999999998E-2</c:v>
                </c:pt>
                <c:pt idx="37">
                  <c:v>1.2999999999999999E-3</c:v>
                </c:pt>
                <c:pt idx="38">
                  <c:v>3.5400000000000001E-2</c:v>
                </c:pt>
                <c:pt idx="39">
                  <c:v>7.4200000000000002E-2</c:v>
                </c:pt>
                <c:pt idx="40">
                  <c:v>0.1101</c:v>
                </c:pt>
                <c:pt idx="41">
                  <c:v>0.1351</c:v>
                </c:pt>
                <c:pt idx="42">
                  <c:v>0.16200000000000001</c:v>
                </c:pt>
                <c:pt idx="43">
                  <c:v>0.19270000000000001</c:v>
                </c:pt>
                <c:pt idx="44">
                  <c:v>0.23710000000000001</c:v>
                </c:pt>
                <c:pt idx="45">
                  <c:v>0.26300000000000001</c:v>
                </c:pt>
                <c:pt idx="46">
                  <c:v>0.2833</c:v>
                </c:pt>
                <c:pt idx="47">
                  <c:v>0.3095</c:v>
                </c:pt>
                <c:pt idx="48">
                  <c:v>0.35670000000000002</c:v>
                </c:pt>
                <c:pt idx="49">
                  <c:v>0.37880000000000003</c:v>
                </c:pt>
                <c:pt idx="50">
                  <c:v>0.39500000000000002</c:v>
                </c:pt>
                <c:pt idx="51">
                  <c:v>0.41980000000000001</c:v>
                </c:pt>
                <c:pt idx="52">
                  <c:v>0.48270000000000002</c:v>
                </c:pt>
                <c:pt idx="53">
                  <c:v>0.4894</c:v>
                </c:pt>
                <c:pt idx="54">
                  <c:v>0.50229999999999997</c:v>
                </c:pt>
                <c:pt idx="55">
                  <c:v>0.52490000000000003</c:v>
                </c:pt>
                <c:pt idx="56">
                  <c:v>0.5958</c:v>
                </c:pt>
                <c:pt idx="57">
                  <c:v>0.60499999999999998</c:v>
                </c:pt>
                <c:pt idx="58">
                  <c:v>0.61670000000000003</c:v>
                </c:pt>
                <c:pt idx="59">
                  <c:v>0.63439999999999996</c:v>
                </c:pt>
                <c:pt idx="60">
                  <c:v>0.67210000000000003</c:v>
                </c:pt>
                <c:pt idx="61">
                  <c:v>0.73560000000000003</c:v>
                </c:pt>
                <c:pt idx="62">
                  <c:v>0.75009999999999999</c:v>
                </c:pt>
                <c:pt idx="63">
                  <c:v>0.76759999999999995</c:v>
                </c:pt>
                <c:pt idx="64">
                  <c:v>0.79100000000000004</c:v>
                </c:pt>
                <c:pt idx="65">
                  <c:v>0.82120000000000004</c:v>
                </c:pt>
                <c:pt idx="66">
                  <c:v>0.85589999999999999</c:v>
                </c:pt>
                <c:pt idx="67">
                  <c:v>0.8911</c:v>
                </c:pt>
                <c:pt idx="68">
                  <c:v>0.92510000000000003</c:v>
                </c:pt>
                <c:pt idx="69">
                  <c:v>0.95840000000000003</c:v>
                </c:pt>
                <c:pt idx="70">
                  <c:v>0.9929</c:v>
                </c:pt>
                <c:pt idx="71">
                  <c:v>1.0337000000000001</c:v>
                </c:pt>
                <c:pt idx="72">
                  <c:v>1.0527</c:v>
                </c:pt>
                <c:pt idx="73">
                  <c:v>1.0665</c:v>
                </c:pt>
                <c:pt idx="74">
                  <c:v>1.0831</c:v>
                </c:pt>
                <c:pt idx="75">
                  <c:v>1.1021000000000001</c:v>
                </c:pt>
                <c:pt idx="76">
                  <c:v>1.123</c:v>
                </c:pt>
                <c:pt idx="77">
                  <c:v>1.1420999999999999</c:v>
                </c:pt>
                <c:pt idx="78">
                  <c:v>1.1539999999999999</c:v>
                </c:pt>
                <c:pt idx="79">
                  <c:v>1.1604000000000001</c:v>
                </c:pt>
                <c:pt idx="80">
                  <c:v>1.1700999999999999</c:v>
                </c:pt>
                <c:pt idx="81">
                  <c:v>1.1861999999999999</c:v>
                </c:pt>
                <c:pt idx="82">
                  <c:v>1.2115</c:v>
                </c:pt>
                <c:pt idx="83">
                  <c:v>1.1836</c:v>
                </c:pt>
                <c:pt idx="84">
                  <c:v>0.92279999999999995</c:v>
                </c:pt>
                <c:pt idx="85">
                  <c:v>0.88649999999999995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85B-4103-90F1-67E0BD5C5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9285392"/>
        <c:axId val="529284976"/>
      </c:scatterChart>
      <c:scatterChart>
        <c:scatterStyle val="lineMarker"/>
        <c:varyColors val="0"/>
        <c:ser>
          <c:idx val="2"/>
          <c:order val="1"/>
          <c:tx>
            <c:strRef>
              <c:f>'Airfoil data'!$E$4</c:f>
              <c:strCache>
                <c:ptCount val="1"/>
                <c:pt idx="0">
                  <c:v>CD/CL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'Airfoil data'!$B$5:$B$90</c:f>
              <c:numCache>
                <c:formatCode>General</c:formatCode>
                <c:ptCount val="86"/>
                <c:pt idx="0">
                  <c:v>-9.5</c:v>
                </c:pt>
                <c:pt idx="1">
                  <c:v>-9.25</c:v>
                </c:pt>
                <c:pt idx="2">
                  <c:v>-9</c:v>
                </c:pt>
                <c:pt idx="3">
                  <c:v>-8.75</c:v>
                </c:pt>
                <c:pt idx="4">
                  <c:v>-8.5</c:v>
                </c:pt>
                <c:pt idx="5">
                  <c:v>-8.25</c:v>
                </c:pt>
                <c:pt idx="6">
                  <c:v>-8</c:v>
                </c:pt>
                <c:pt idx="7">
                  <c:v>-7.75</c:v>
                </c:pt>
                <c:pt idx="8">
                  <c:v>-7.5</c:v>
                </c:pt>
                <c:pt idx="9">
                  <c:v>-7.25</c:v>
                </c:pt>
                <c:pt idx="10">
                  <c:v>-7</c:v>
                </c:pt>
                <c:pt idx="11">
                  <c:v>-6.75</c:v>
                </c:pt>
                <c:pt idx="12">
                  <c:v>-6.5</c:v>
                </c:pt>
                <c:pt idx="13">
                  <c:v>-6.25</c:v>
                </c:pt>
                <c:pt idx="14">
                  <c:v>-6</c:v>
                </c:pt>
                <c:pt idx="15">
                  <c:v>-5.75</c:v>
                </c:pt>
                <c:pt idx="16">
                  <c:v>-5.5</c:v>
                </c:pt>
                <c:pt idx="17">
                  <c:v>-5.25</c:v>
                </c:pt>
                <c:pt idx="18">
                  <c:v>-5</c:v>
                </c:pt>
                <c:pt idx="19">
                  <c:v>-4.75</c:v>
                </c:pt>
                <c:pt idx="20">
                  <c:v>-4.5</c:v>
                </c:pt>
                <c:pt idx="21">
                  <c:v>-4.25</c:v>
                </c:pt>
                <c:pt idx="22">
                  <c:v>-4</c:v>
                </c:pt>
                <c:pt idx="23">
                  <c:v>-3.75</c:v>
                </c:pt>
                <c:pt idx="24">
                  <c:v>-3.5</c:v>
                </c:pt>
                <c:pt idx="25">
                  <c:v>-3.25</c:v>
                </c:pt>
                <c:pt idx="26">
                  <c:v>-3</c:v>
                </c:pt>
                <c:pt idx="27">
                  <c:v>-2.75</c:v>
                </c:pt>
                <c:pt idx="28">
                  <c:v>-2.5</c:v>
                </c:pt>
                <c:pt idx="29">
                  <c:v>-2.25</c:v>
                </c:pt>
                <c:pt idx="30">
                  <c:v>-2</c:v>
                </c:pt>
                <c:pt idx="31">
                  <c:v>-1.75</c:v>
                </c:pt>
                <c:pt idx="32">
                  <c:v>-1.5</c:v>
                </c:pt>
                <c:pt idx="33">
                  <c:v>-1.25</c:v>
                </c:pt>
                <c:pt idx="34">
                  <c:v>-1</c:v>
                </c:pt>
                <c:pt idx="35">
                  <c:v>-0.75</c:v>
                </c:pt>
                <c:pt idx="36">
                  <c:v>-0.5</c:v>
                </c:pt>
                <c:pt idx="37">
                  <c:v>-0.25</c:v>
                </c:pt>
                <c:pt idx="38">
                  <c:v>0</c:v>
                </c:pt>
                <c:pt idx="39">
                  <c:v>0.25</c:v>
                </c:pt>
                <c:pt idx="40">
                  <c:v>0.5</c:v>
                </c:pt>
                <c:pt idx="41">
                  <c:v>0.75</c:v>
                </c:pt>
                <c:pt idx="42">
                  <c:v>1</c:v>
                </c:pt>
                <c:pt idx="43">
                  <c:v>1.25</c:v>
                </c:pt>
                <c:pt idx="44">
                  <c:v>1.5</c:v>
                </c:pt>
                <c:pt idx="45">
                  <c:v>1.75</c:v>
                </c:pt>
                <c:pt idx="46">
                  <c:v>2</c:v>
                </c:pt>
                <c:pt idx="47">
                  <c:v>2.25</c:v>
                </c:pt>
                <c:pt idx="48">
                  <c:v>2.5</c:v>
                </c:pt>
                <c:pt idx="49">
                  <c:v>2.75</c:v>
                </c:pt>
                <c:pt idx="50">
                  <c:v>3</c:v>
                </c:pt>
                <c:pt idx="51">
                  <c:v>3.25</c:v>
                </c:pt>
                <c:pt idx="52">
                  <c:v>3.5</c:v>
                </c:pt>
                <c:pt idx="53">
                  <c:v>3.75</c:v>
                </c:pt>
                <c:pt idx="54">
                  <c:v>4</c:v>
                </c:pt>
                <c:pt idx="55">
                  <c:v>4.25</c:v>
                </c:pt>
                <c:pt idx="56">
                  <c:v>4.5</c:v>
                </c:pt>
                <c:pt idx="57">
                  <c:v>4.75</c:v>
                </c:pt>
                <c:pt idx="58">
                  <c:v>5</c:v>
                </c:pt>
                <c:pt idx="59">
                  <c:v>5.25</c:v>
                </c:pt>
                <c:pt idx="60">
                  <c:v>5.5</c:v>
                </c:pt>
                <c:pt idx="61">
                  <c:v>5.75</c:v>
                </c:pt>
                <c:pt idx="62">
                  <c:v>6</c:v>
                </c:pt>
                <c:pt idx="63">
                  <c:v>6.25</c:v>
                </c:pt>
                <c:pt idx="64">
                  <c:v>6.5</c:v>
                </c:pt>
                <c:pt idx="65">
                  <c:v>6.75</c:v>
                </c:pt>
                <c:pt idx="66">
                  <c:v>7</c:v>
                </c:pt>
                <c:pt idx="67">
                  <c:v>7.25</c:v>
                </c:pt>
                <c:pt idx="68">
                  <c:v>7.5</c:v>
                </c:pt>
                <c:pt idx="69">
                  <c:v>7.75</c:v>
                </c:pt>
                <c:pt idx="70">
                  <c:v>8</c:v>
                </c:pt>
                <c:pt idx="71">
                  <c:v>8.25</c:v>
                </c:pt>
                <c:pt idx="72">
                  <c:v>8.5</c:v>
                </c:pt>
                <c:pt idx="73">
                  <c:v>8.75</c:v>
                </c:pt>
                <c:pt idx="74">
                  <c:v>9</c:v>
                </c:pt>
                <c:pt idx="75">
                  <c:v>9.25</c:v>
                </c:pt>
                <c:pt idx="76">
                  <c:v>9.5</c:v>
                </c:pt>
                <c:pt idx="77">
                  <c:v>9.75</c:v>
                </c:pt>
                <c:pt idx="78">
                  <c:v>10</c:v>
                </c:pt>
                <c:pt idx="79">
                  <c:v>10.25</c:v>
                </c:pt>
                <c:pt idx="80">
                  <c:v>10.5</c:v>
                </c:pt>
                <c:pt idx="81">
                  <c:v>10.75</c:v>
                </c:pt>
                <c:pt idx="82">
                  <c:v>11</c:v>
                </c:pt>
                <c:pt idx="83">
                  <c:v>11.25</c:v>
                </c:pt>
                <c:pt idx="84">
                  <c:v>11.5</c:v>
                </c:pt>
                <c:pt idx="85">
                  <c:v>11.75</c:v>
                </c:pt>
              </c:numCache>
            </c:numRef>
          </c:xVal>
          <c:yVal>
            <c:numRef>
              <c:f>'Airfoil data'!$E$5:$E$90</c:f>
              <c:numCache>
                <c:formatCode>General</c:formatCode>
                <c:ptCount val="86"/>
                <c:pt idx="0">
                  <c:v>-0.28517382413087938</c:v>
                </c:pt>
                <c:pt idx="1">
                  <c:v>-0.3002549575070822</c:v>
                </c:pt>
                <c:pt idx="2">
                  <c:v>-0.12834341397849464</c:v>
                </c:pt>
                <c:pt idx="3">
                  <c:v>-0.11638464041653107</c:v>
                </c:pt>
                <c:pt idx="4">
                  <c:v>-0.10483592400690846</c:v>
                </c:pt>
                <c:pt idx="5">
                  <c:v>-9.3710311460538251E-2</c:v>
                </c:pt>
                <c:pt idx="6">
                  <c:v>-8.3923865300146408E-2</c:v>
                </c:pt>
                <c:pt idx="7">
                  <c:v>-7.5474932152549634E-2</c:v>
                </c:pt>
                <c:pt idx="8">
                  <c:v>-7.1267000715819609E-2</c:v>
                </c:pt>
                <c:pt idx="9">
                  <c:v>-7.0281300102025934E-2</c:v>
                </c:pt>
                <c:pt idx="10">
                  <c:v>-6.5844762182667063E-2</c:v>
                </c:pt>
                <c:pt idx="11">
                  <c:v>-6.2758112094395274E-2</c:v>
                </c:pt>
                <c:pt idx="12">
                  <c:v>-6.1980108499095847E-2</c:v>
                </c:pt>
                <c:pt idx="13">
                  <c:v>-5.9479326186830016E-2</c:v>
                </c:pt>
                <c:pt idx="14">
                  <c:v>-5.9070205748390128E-2</c:v>
                </c:pt>
                <c:pt idx="15">
                  <c:v>-5.8157513287163801E-2</c:v>
                </c:pt>
                <c:pt idx="16">
                  <c:v>-5.7310618590803837E-2</c:v>
                </c:pt>
                <c:pt idx="17">
                  <c:v>-5.7366984993178723E-2</c:v>
                </c:pt>
                <c:pt idx="18">
                  <c:v>-5.7600845516998414E-2</c:v>
                </c:pt>
                <c:pt idx="19">
                  <c:v>-5.7950401167031367E-2</c:v>
                </c:pt>
                <c:pt idx="20">
                  <c:v>-5.8544423440453686E-2</c:v>
                </c:pt>
                <c:pt idx="21">
                  <c:v>-5.9324695720455442E-2</c:v>
                </c:pt>
                <c:pt idx="22">
                  <c:v>-6.0310330747243769E-2</c:v>
                </c:pt>
                <c:pt idx="23">
                  <c:v>-6.1695347355003184E-2</c:v>
                </c:pt>
                <c:pt idx="24">
                  <c:v>-6.331413380593709E-2</c:v>
                </c:pt>
                <c:pt idx="25">
                  <c:v>-6.5233472029588527E-2</c:v>
                </c:pt>
                <c:pt idx="26">
                  <c:v>-6.7529013539651836E-2</c:v>
                </c:pt>
                <c:pt idx="27">
                  <c:v>-7.0096056622851372E-2</c:v>
                </c:pt>
                <c:pt idx="28">
                  <c:v>-7.2984403912238954E-2</c:v>
                </c:pt>
                <c:pt idx="29">
                  <c:v>-7.6202321724709782E-2</c:v>
                </c:pt>
                <c:pt idx="30">
                  <c:v>-7.9693818601964186E-2</c:v>
                </c:pt>
                <c:pt idx="31">
                  <c:v>-8.3112980769230779E-2</c:v>
                </c:pt>
                <c:pt idx="32">
                  <c:v>-8.6286068879925543E-2</c:v>
                </c:pt>
                <c:pt idx="33">
                  <c:v>-9.9201666088163831E-2</c:v>
                </c:pt>
                <c:pt idx="34">
                  <c:v>-0.24286821705426354</c:v>
                </c:pt>
                <c:pt idx="35">
                  <c:v>-0.55939716312056742</c:v>
                </c:pt>
                <c:pt idx="36">
                  <c:v>-1.0701694915254238</c:v>
                </c:pt>
                <c:pt idx="37">
                  <c:v>24.54615384615385</c:v>
                </c:pt>
                <c:pt idx="38">
                  <c:v>0.91497175141242937</c:v>
                </c:pt>
                <c:pt idx="39">
                  <c:v>0.44407008086253369</c:v>
                </c:pt>
                <c:pt idx="40">
                  <c:v>0.30408719346049046</c:v>
                </c:pt>
                <c:pt idx="41">
                  <c:v>0.25196150999259809</c:v>
                </c:pt>
                <c:pt idx="42">
                  <c:v>0.21388888888888888</c:v>
                </c:pt>
                <c:pt idx="43">
                  <c:v>0.18303061754021796</c:v>
                </c:pt>
                <c:pt idx="44">
                  <c:v>0.15082243778996204</c:v>
                </c:pt>
                <c:pt idx="45">
                  <c:v>0.1382889733840304</c:v>
                </c:pt>
                <c:pt idx="46">
                  <c:v>0.13099188139781151</c:v>
                </c:pt>
                <c:pt idx="47">
                  <c:v>0.12213247172859451</c:v>
                </c:pt>
                <c:pt idx="48">
                  <c:v>0.10667227361928791</c:v>
                </c:pt>
                <c:pt idx="49">
                  <c:v>0.10229672650475184</c:v>
                </c:pt>
                <c:pt idx="50">
                  <c:v>0.10045569620253164</c:v>
                </c:pt>
                <c:pt idx="51">
                  <c:v>9.626012386850881E-2</c:v>
                </c:pt>
                <c:pt idx="52">
                  <c:v>8.2473586078309499E-2</c:v>
                </c:pt>
                <c:pt idx="53">
                  <c:v>8.3898651409889655E-2</c:v>
                </c:pt>
                <c:pt idx="54">
                  <c:v>8.3993629305196105E-2</c:v>
                </c:pt>
                <c:pt idx="55">
                  <c:v>8.1863212040388642E-2</c:v>
                </c:pt>
                <c:pt idx="56">
                  <c:v>6.9284994964753266E-2</c:v>
                </c:pt>
                <c:pt idx="57">
                  <c:v>7.0380165289256197E-2</c:v>
                </c:pt>
                <c:pt idx="58">
                  <c:v>7.1006972596075885E-2</c:v>
                </c:pt>
                <c:pt idx="59">
                  <c:v>7.0444514501891556E-2</c:v>
                </c:pt>
                <c:pt idx="60">
                  <c:v>6.6002083023359609E-2</c:v>
                </c:pt>
                <c:pt idx="61">
                  <c:v>5.7300163132137032E-2</c:v>
                </c:pt>
                <c:pt idx="62">
                  <c:v>5.7432342354352753E-2</c:v>
                </c:pt>
                <c:pt idx="63">
                  <c:v>5.7100052110474211E-2</c:v>
                </c:pt>
                <c:pt idx="64">
                  <c:v>5.5802781289506949E-2</c:v>
                </c:pt>
                <c:pt idx="65">
                  <c:v>5.347053093034583E-2</c:v>
                </c:pt>
                <c:pt idx="66">
                  <c:v>5.0590022198855007E-2</c:v>
                </c:pt>
                <c:pt idx="67">
                  <c:v>4.7828526540231175E-2</c:v>
                </c:pt>
                <c:pt idx="68">
                  <c:v>4.5400497243541241E-2</c:v>
                </c:pt>
                <c:pt idx="69">
                  <c:v>4.322829716193656E-2</c:v>
                </c:pt>
                <c:pt idx="70">
                  <c:v>4.1081679927485147E-2</c:v>
                </c:pt>
                <c:pt idx="71">
                  <c:v>3.8492792879945822E-2</c:v>
                </c:pt>
                <c:pt idx="72">
                  <c:v>3.82255153415028E-2</c:v>
                </c:pt>
                <c:pt idx="73">
                  <c:v>3.8452883263009843E-2</c:v>
                </c:pt>
                <c:pt idx="74">
                  <c:v>3.8472901855784322E-2</c:v>
                </c:pt>
                <c:pt idx="75">
                  <c:v>3.8308683422556937E-2</c:v>
                </c:pt>
                <c:pt idx="76">
                  <c:v>3.8085485307212827E-2</c:v>
                </c:pt>
                <c:pt idx="77">
                  <c:v>3.8166535329655901E-2</c:v>
                </c:pt>
                <c:pt idx="78">
                  <c:v>3.8951473136915077E-2</c:v>
                </c:pt>
                <c:pt idx="79">
                  <c:v>4.0279214064115818E-2</c:v>
                </c:pt>
                <c:pt idx="80">
                  <c:v>4.1449448765062819E-2</c:v>
                </c:pt>
                <c:pt idx="81">
                  <c:v>4.2168268420165238E-2</c:v>
                </c:pt>
                <c:pt idx="82">
                  <c:v>4.2368964094098224E-2</c:v>
                </c:pt>
                <c:pt idx="83">
                  <c:v>4.6459952686718486E-2</c:v>
                </c:pt>
                <c:pt idx="84">
                  <c:v>8.9911140008669274E-2</c:v>
                </c:pt>
                <c:pt idx="85">
                  <c:v>0.10529046813310775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85B-4103-90F1-67E0BD5C5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139648"/>
        <c:axId val="1419137152"/>
      </c:scatterChart>
      <c:valAx>
        <c:axId val="529285392"/>
        <c:scaling>
          <c:orientation val="minMax"/>
          <c:max val="12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Angle of attack, </a:t>
                </a:r>
                <a:r>
                  <a:rPr lang="fi-FI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°</a:t>
                </a:r>
                <a:endParaRPr lang="fi-FI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headEnd type="none" w="med" len="med"/>
            <a:tailEnd type="non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529284976"/>
        <c:crosses val="autoZero"/>
        <c:crossBetween val="midCat"/>
      </c:valAx>
      <c:valAx>
        <c:axId val="529284976"/>
        <c:scaling>
          <c:orientation val="minMax"/>
          <c:max val="1.7000000000000002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Lift coefficient, </a:t>
                </a:r>
                <a:r>
                  <a:rPr lang="fi-FI" i="1"/>
                  <a:t>C</a:t>
                </a:r>
                <a:r>
                  <a:rPr lang="fi-FI" baseline="-25000"/>
                  <a:t>L</a:t>
                </a:r>
                <a:r>
                  <a:rPr lang="fi-FI"/>
                  <a:t>,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529285392"/>
        <c:crosses val="autoZero"/>
        <c:crossBetween val="midCat"/>
      </c:valAx>
      <c:valAx>
        <c:axId val="1419137152"/>
        <c:scaling>
          <c:orientation val="minMax"/>
          <c:max val="0.15000000000000002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C</a:t>
                </a:r>
                <a:r>
                  <a:rPr lang="fi-FI" baseline="-25000"/>
                  <a:t>D </a:t>
                </a:r>
                <a:r>
                  <a:rPr lang="fi-FI" i="0"/>
                  <a:t>/ </a:t>
                </a:r>
                <a:r>
                  <a:rPr lang="fi-FI" i="1"/>
                  <a:t>C</a:t>
                </a:r>
                <a:r>
                  <a:rPr lang="fi-FI" baseline="-25000"/>
                  <a:t>L</a:t>
                </a:r>
                <a:r>
                  <a:rPr lang="fi-FI"/>
                  <a:t>,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419139648"/>
        <c:crosses val="max"/>
        <c:crossBetween val="midCat"/>
      </c:valAx>
      <c:valAx>
        <c:axId val="1419139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137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/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'Airfoil data'!$C$4</c:f>
              <c:strCache>
                <c:ptCount val="1"/>
                <c:pt idx="0">
                  <c:v>CL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'Airfoil data'!$P$5:$P$153</c:f>
              <c:numCache>
                <c:formatCode>General</c:formatCode>
                <c:ptCount val="149"/>
                <c:pt idx="0">
                  <c:v>-11.75</c:v>
                </c:pt>
                <c:pt idx="1">
                  <c:v>-11.5</c:v>
                </c:pt>
                <c:pt idx="2">
                  <c:v>-11.25</c:v>
                </c:pt>
                <c:pt idx="3">
                  <c:v>-11</c:v>
                </c:pt>
                <c:pt idx="4">
                  <c:v>-10.75</c:v>
                </c:pt>
                <c:pt idx="5">
                  <c:v>-10.5</c:v>
                </c:pt>
                <c:pt idx="6">
                  <c:v>-10.25</c:v>
                </c:pt>
                <c:pt idx="7">
                  <c:v>-10</c:v>
                </c:pt>
                <c:pt idx="8">
                  <c:v>-9.75</c:v>
                </c:pt>
                <c:pt idx="9">
                  <c:v>-9.5</c:v>
                </c:pt>
                <c:pt idx="10">
                  <c:v>-9.25</c:v>
                </c:pt>
                <c:pt idx="11">
                  <c:v>-9</c:v>
                </c:pt>
                <c:pt idx="12">
                  <c:v>-8.75</c:v>
                </c:pt>
                <c:pt idx="13">
                  <c:v>-8.5</c:v>
                </c:pt>
                <c:pt idx="14">
                  <c:v>-8.25</c:v>
                </c:pt>
                <c:pt idx="15">
                  <c:v>-8</c:v>
                </c:pt>
                <c:pt idx="16">
                  <c:v>-7.75</c:v>
                </c:pt>
                <c:pt idx="17">
                  <c:v>-7.5</c:v>
                </c:pt>
                <c:pt idx="18">
                  <c:v>-7.25</c:v>
                </c:pt>
                <c:pt idx="19">
                  <c:v>-7</c:v>
                </c:pt>
                <c:pt idx="20">
                  <c:v>-6.75</c:v>
                </c:pt>
                <c:pt idx="21">
                  <c:v>-6.5</c:v>
                </c:pt>
                <c:pt idx="22">
                  <c:v>-6.25</c:v>
                </c:pt>
                <c:pt idx="23">
                  <c:v>-6</c:v>
                </c:pt>
                <c:pt idx="24">
                  <c:v>-5.75</c:v>
                </c:pt>
                <c:pt idx="25">
                  <c:v>-5.5</c:v>
                </c:pt>
                <c:pt idx="26">
                  <c:v>-5.25</c:v>
                </c:pt>
                <c:pt idx="27">
                  <c:v>-5</c:v>
                </c:pt>
                <c:pt idx="28">
                  <c:v>-4.75</c:v>
                </c:pt>
                <c:pt idx="29">
                  <c:v>-4.5</c:v>
                </c:pt>
                <c:pt idx="30">
                  <c:v>-4.25</c:v>
                </c:pt>
                <c:pt idx="31">
                  <c:v>-4</c:v>
                </c:pt>
                <c:pt idx="32">
                  <c:v>-3.75</c:v>
                </c:pt>
                <c:pt idx="33">
                  <c:v>-3.5</c:v>
                </c:pt>
                <c:pt idx="34">
                  <c:v>-3.25</c:v>
                </c:pt>
                <c:pt idx="35">
                  <c:v>-3</c:v>
                </c:pt>
                <c:pt idx="36">
                  <c:v>-2.75</c:v>
                </c:pt>
                <c:pt idx="37">
                  <c:v>-2.5</c:v>
                </c:pt>
                <c:pt idx="38">
                  <c:v>-2.25</c:v>
                </c:pt>
                <c:pt idx="39">
                  <c:v>-2</c:v>
                </c:pt>
                <c:pt idx="40">
                  <c:v>-1.75</c:v>
                </c:pt>
                <c:pt idx="41">
                  <c:v>-1.5</c:v>
                </c:pt>
                <c:pt idx="42">
                  <c:v>-1.25</c:v>
                </c:pt>
                <c:pt idx="43">
                  <c:v>-1</c:v>
                </c:pt>
                <c:pt idx="44">
                  <c:v>-0.75</c:v>
                </c:pt>
                <c:pt idx="45">
                  <c:v>-0.5</c:v>
                </c:pt>
                <c:pt idx="46">
                  <c:v>-0.25</c:v>
                </c:pt>
                <c:pt idx="47">
                  <c:v>0</c:v>
                </c:pt>
                <c:pt idx="48">
                  <c:v>0.25</c:v>
                </c:pt>
                <c:pt idx="49">
                  <c:v>0.5</c:v>
                </c:pt>
                <c:pt idx="50">
                  <c:v>0.75</c:v>
                </c:pt>
                <c:pt idx="51">
                  <c:v>1</c:v>
                </c:pt>
                <c:pt idx="52">
                  <c:v>1.25</c:v>
                </c:pt>
                <c:pt idx="53">
                  <c:v>1.5</c:v>
                </c:pt>
                <c:pt idx="54">
                  <c:v>1.75</c:v>
                </c:pt>
                <c:pt idx="55">
                  <c:v>2</c:v>
                </c:pt>
                <c:pt idx="56">
                  <c:v>2.25</c:v>
                </c:pt>
                <c:pt idx="57">
                  <c:v>2.5</c:v>
                </c:pt>
                <c:pt idx="58">
                  <c:v>2.75</c:v>
                </c:pt>
                <c:pt idx="59">
                  <c:v>3</c:v>
                </c:pt>
                <c:pt idx="60">
                  <c:v>3.25</c:v>
                </c:pt>
                <c:pt idx="61">
                  <c:v>3.5</c:v>
                </c:pt>
                <c:pt idx="62">
                  <c:v>3.75</c:v>
                </c:pt>
                <c:pt idx="63">
                  <c:v>4</c:v>
                </c:pt>
                <c:pt idx="64">
                  <c:v>4.25</c:v>
                </c:pt>
                <c:pt idx="65">
                  <c:v>4.5</c:v>
                </c:pt>
                <c:pt idx="66">
                  <c:v>4.75</c:v>
                </c:pt>
                <c:pt idx="67">
                  <c:v>5</c:v>
                </c:pt>
                <c:pt idx="68">
                  <c:v>5.25</c:v>
                </c:pt>
                <c:pt idx="69">
                  <c:v>5.5</c:v>
                </c:pt>
                <c:pt idx="70">
                  <c:v>5.75</c:v>
                </c:pt>
                <c:pt idx="71">
                  <c:v>6</c:v>
                </c:pt>
                <c:pt idx="72">
                  <c:v>6.25</c:v>
                </c:pt>
                <c:pt idx="73">
                  <c:v>6.5</c:v>
                </c:pt>
                <c:pt idx="74">
                  <c:v>6.75</c:v>
                </c:pt>
                <c:pt idx="75">
                  <c:v>7</c:v>
                </c:pt>
                <c:pt idx="76">
                  <c:v>7.25</c:v>
                </c:pt>
                <c:pt idx="77">
                  <c:v>7.5</c:v>
                </c:pt>
                <c:pt idx="78">
                  <c:v>7.75</c:v>
                </c:pt>
                <c:pt idx="79">
                  <c:v>8</c:v>
                </c:pt>
                <c:pt idx="80">
                  <c:v>8.25</c:v>
                </c:pt>
                <c:pt idx="81">
                  <c:v>8.5</c:v>
                </c:pt>
                <c:pt idx="82">
                  <c:v>8.75</c:v>
                </c:pt>
                <c:pt idx="83">
                  <c:v>9</c:v>
                </c:pt>
                <c:pt idx="84">
                  <c:v>9.25</c:v>
                </c:pt>
                <c:pt idx="85">
                  <c:v>9.5</c:v>
                </c:pt>
                <c:pt idx="86">
                  <c:v>9.75</c:v>
                </c:pt>
                <c:pt idx="87">
                  <c:v>10</c:v>
                </c:pt>
                <c:pt idx="88">
                  <c:v>10.25</c:v>
                </c:pt>
                <c:pt idx="89">
                  <c:v>10.5</c:v>
                </c:pt>
                <c:pt idx="90">
                  <c:v>10.75</c:v>
                </c:pt>
                <c:pt idx="91">
                  <c:v>11</c:v>
                </c:pt>
                <c:pt idx="92">
                  <c:v>11.25</c:v>
                </c:pt>
                <c:pt idx="93">
                  <c:v>11.5</c:v>
                </c:pt>
                <c:pt idx="94">
                  <c:v>11.75</c:v>
                </c:pt>
                <c:pt idx="95">
                  <c:v>12</c:v>
                </c:pt>
                <c:pt idx="96">
                  <c:v>12.25</c:v>
                </c:pt>
                <c:pt idx="97">
                  <c:v>12.5</c:v>
                </c:pt>
                <c:pt idx="98">
                  <c:v>12.75</c:v>
                </c:pt>
                <c:pt idx="99">
                  <c:v>13</c:v>
                </c:pt>
                <c:pt idx="100">
                  <c:v>13.25</c:v>
                </c:pt>
                <c:pt idx="101">
                  <c:v>13.5</c:v>
                </c:pt>
                <c:pt idx="102">
                  <c:v>13.75</c:v>
                </c:pt>
                <c:pt idx="103">
                  <c:v>14</c:v>
                </c:pt>
                <c:pt idx="104">
                  <c:v>14.25</c:v>
                </c:pt>
                <c:pt idx="105">
                  <c:v>14.5</c:v>
                </c:pt>
                <c:pt idx="106">
                  <c:v>14.75</c:v>
                </c:pt>
                <c:pt idx="107">
                  <c:v>15</c:v>
                </c:pt>
                <c:pt idx="108">
                  <c:v>15.25</c:v>
                </c:pt>
                <c:pt idx="109">
                  <c:v>15.5</c:v>
                </c:pt>
                <c:pt idx="110">
                  <c:v>15.75</c:v>
                </c:pt>
                <c:pt idx="111">
                  <c:v>16</c:v>
                </c:pt>
                <c:pt idx="112">
                  <c:v>16.25</c:v>
                </c:pt>
                <c:pt idx="113">
                  <c:v>16.5</c:v>
                </c:pt>
              </c:numCache>
            </c:numRef>
          </c:xVal>
          <c:yVal>
            <c:numRef>
              <c:f>'Airfoil data'!$Q$5:$Q$153</c:f>
              <c:numCache>
                <c:formatCode>General</c:formatCode>
                <c:ptCount val="149"/>
                <c:pt idx="0">
                  <c:v>-0.65069999999999995</c:v>
                </c:pt>
                <c:pt idx="1">
                  <c:v>-0.68020000000000003</c:v>
                </c:pt>
                <c:pt idx="2">
                  <c:v>-0.71740000000000004</c:v>
                </c:pt>
                <c:pt idx="3">
                  <c:v>-0.75590000000000002</c:v>
                </c:pt>
                <c:pt idx="4">
                  <c:v>-0.79020000000000001</c:v>
                </c:pt>
                <c:pt idx="5">
                  <c:v>-0.81789999999999996</c:v>
                </c:pt>
                <c:pt idx="6">
                  <c:v>-0.8397</c:v>
                </c:pt>
                <c:pt idx="7">
                  <c:v>-0.85640000000000005</c:v>
                </c:pt>
                <c:pt idx="8">
                  <c:v>-0.85950000000000004</c:v>
                </c:pt>
                <c:pt idx="9">
                  <c:v>-0.84499999999999997</c:v>
                </c:pt>
                <c:pt idx="10">
                  <c:v>-0.83609999999999995</c:v>
                </c:pt>
                <c:pt idx="11">
                  <c:v>-0.83199999999999996</c:v>
                </c:pt>
                <c:pt idx="12">
                  <c:v>-0.82940000000000003</c:v>
                </c:pt>
                <c:pt idx="13">
                  <c:v>-0.8155</c:v>
                </c:pt>
                <c:pt idx="14">
                  <c:v>-0.80030000000000001</c:v>
                </c:pt>
                <c:pt idx="15">
                  <c:v>-0.78790000000000004</c:v>
                </c:pt>
                <c:pt idx="16">
                  <c:v>-0.7732</c:v>
                </c:pt>
                <c:pt idx="17">
                  <c:v>-0.75590000000000002</c:v>
                </c:pt>
                <c:pt idx="18">
                  <c:v>-0.7399</c:v>
                </c:pt>
                <c:pt idx="19">
                  <c:v>-0.72130000000000005</c:v>
                </c:pt>
                <c:pt idx="20">
                  <c:v>-0.70309999999999995</c:v>
                </c:pt>
                <c:pt idx="21">
                  <c:v>-0.68379999999999996</c:v>
                </c:pt>
                <c:pt idx="22">
                  <c:v>-0.66449999999999998</c:v>
                </c:pt>
                <c:pt idx="23">
                  <c:v>-0.64480000000000004</c:v>
                </c:pt>
                <c:pt idx="24">
                  <c:v>-0.62539999999999996</c:v>
                </c:pt>
                <c:pt idx="25">
                  <c:v>-0.60560000000000003</c:v>
                </c:pt>
                <c:pt idx="26">
                  <c:v>-0.58579999999999999</c:v>
                </c:pt>
                <c:pt idx="27">
                  <c:v>-0.56610000000000005</c:v>
                </c:pt>
                <c:pt idx="28">
                  <c:v>-0.52790000000000004</c:v>
                </c:pt>
                <c:pt idx="29">
                  <c:v>-0.48449999999999999</c:v>
                </c:pt>
                <c:pt idx="30">
                  <c:v>-0.4395</c:v>
                </c:pt>
                <c:pt idx="31">
                  <c:v>-0.39889999999999998</c:v>
                </c:pt>
                <c:pt idx="32">
                  <c:v>-0.35909999999999997</c:v>
                </c:pt>
                <c:pt idx="33">
                  <c:v>-0.31480000000000002</c:v>
                </c:pt>
                <c:pt idx="34">
                  <c:v>-0.28010000000000002</c:v>
                </c:pt>
                <c:pt idx="35">
                  <c:v>-0.2369</c:v>
                </c:pt>
                <c:pt idx="36">
                  <c:v>-0.20300000000000001</c:v>
                </c:pt>
                <c:pt idx="37">
                  <c:v>-0.16739999999999999</c:v>
                </c:pt>
                <c:pt idx="38">
                  <c:v>-0.12839999999999999</c:v>
                </c:pt>
                <c:pt idx="39">
                  <c:v>-9.7600000000000006E-2</c:v>
                </c:pt>
                <c:pt idx="40">
                  <c:v>-5.6000000000000001E-2</c:v>
                </c:pt>
                <c:pt idx="41">
                  <c:v>-2.8000000000000001E-2</c:v>
                </c:pt>
                <c:pt idx="42">
                  <c:v>1.3599999999999999E-2</c:v>
                </c:pt>
                <c:pt idx="43">
                  <c:v>4.3299999999999998E-2</c:v>
                </c:pt>
                <c:pt idx="44">
                  <c:v>9.1600000000000001E-2</c:v>
                </c:pt>
                <c:pt idx="45">
                  <c:v>0.1401</c:v>
                </c:pt>
                <c:pt idx="46">
                  <c:v>0.20430000000000001</c:v>
                </c:pt>
                <c:pt idx="47">
                  <c:v>0.27510000000000001</c:v>
                </c:pt>
                <c:pt idx="48">
                  <c:v>0.34499999999999997</c:v>
                </c:pt>
                <c:pt idx="49">
                  <c:v>0.41039999999999999</c:v>
                </c:pt>
                <c:pt idx="50">
                  <c:v>0.47570000000000001</c:v>
                </c:pt>
                <c:pt idx="51">
                  <c:v>0.49859999999999999</c:v>
                </c:pt>
                <c:pt idx="52">
                  <c:v>0.51629999999999998</c:v>
                </c:pt>
                <c:pt idx="53">
                  <c:v>0.53490000000000004</c:v>
                </c:pt>
                <c:pt idx="54">
                  <c:v>0.5544</c:v>
                </c:pt>
                <c:pt idx="55">
                  <c:v>0.57609999999999995</c:v>
                </c:pt>
                <c:pt idx="56">
                  <c:v>0.59709999999999996</c:v>
                </c:pt>
                <c:pt idx="57">
                  <c:v>0.6159</c:v>
                </c:pt>
                <c:pt idx="58">
                  <c:v>0.63619999999999999</c:v>
                </c:pt>
                <c:pt idx="59">
                  <c:v>0.65880000000000005</c:v>
                </c:pt>
                <c:pt idx="60">
                  <c:v>0.68079999999999996</c:v>
                </c:pt>
                <c:pt idx="61">
                  <c:v>0.7</c:v>
                </c:pt>
                <c:pt idx="62">
                  <c:v>0.72099999999999997</c:v>
                </c:pt>
                <c:pt idx="63">
                  <c:v>0.74409999999999998</c:v>
                </c:pt>
                <c:pt idx="64">
                  <c:v>0.76690000000000003</c:v>
                </c:pt>
                <c:pt idx="65">
                  <c:v>0.78639999999999999</c:v>
                </c:pt>
                <c:pt idx="66">
                  <c:v>0.80720000000000003</c:v>
                </c:pt>
                <c:pt idx="67">
                  <c:v>0.82920000000000005</c:v>
                </c:pt>
                <c:pt idx="68">
                  <c:v>0.85240000000000005</c:v>
                </c:pt>
                <c:pt idx="69">
                  <c:v>0.87409999999999999</c:v>
                </c:pt>
                <c:pt idx="70">
                  <c:v>0.89370000000000005</c:v>
                </c:pt>
                <c:pt idx="71">
                  <c:v>0.91379999999999995</c:v>
                </c:pt>
                <c:pt idx="72">
                  <c:v>0.93410000000000004</c:v>
                </c:pt>
                <c:pt idx="73">
                  <c:v>0.95450000000000002</c:v>
                </c:pt>
                <c:pt idx="74">
                  <c:v>0.97450000000000003</c:v>
                </c:pt>
                <c:pt idx="75">
                  <c:v>0.99409999999999998</c:v>
                </c:pt>
                <c:pt idx="76">
                  <c:v>1.0129999999999999</c:v>
                </c:pt>
                <c:pt idx="77">
                  <c:v>1.0310999999999999</c:v>
                </c:pt>
                <c:pt idx="78">
                  <c:v>1.0484</c:v>
                </c:pt>
                <c:pt idx="79">
                  <c:v>1.0649</c:v>
                </c:pt>
                <c:pt idx="80">
                  <c:v>1.0807</c:v>
                </c:pt>
                <c:pt idx="81">
                  <c:v>1.0960000000000001</c:v>
                </c:pt>
                <c:pt idx="82">
                  <c:v>1.1093</c:v>
                </c:pt>
                <c:pt idx="83">
                  <c:v>1.1214999999999999</c:v>
                </c:pt>
                <c:pt idx="84">
                  <c:v>1.1333</c:v>
                </c:pt>
                <c:pt idx="85">
                  <c:v>1.1446000000000001</c:v>
                </c:pt>
                <c:pt idx="86">
                  <c:v>1.1555</c:v>
                </c:pt>
                <c:pt idx="87">
                  <c:v>1.1664000000000001</c:v>
                </c:pt>
                <c:pt idx="88">
                  <c:v>1.1771</c:v>
                </c:pt>
                <c:pt idx="89">
                  <c:v>1.1872</c:v>
                </c:pt>
                <c:pt idx="90">
                  <c:v>1.1956</c:v>
                </c:pt>
                <c:pt idx="91">
                  <c:v>1.2077</c:v>
                </c:pt>
                <c:pt idx="92">
                  <c:v>1.2215</c:v>
                </c:pt>
                <c:pt idx="93">
                  <c:v>1.2295</c:v>
                </c:pt>
                <c:pt idx="94">
                  <c:v>1.2506999999999999</c:v>
                </c:pt>
                <c:pt idx="95">
                  <c:v>1.2531000000000001</c:v>
                </c:pt>
                <c:pt idx="96">
                  <c:v>1.2799</c:v>
                </c:pt>
                <c:pt idx="97">
                  <c:v>1.2781</c:v>
                </c:pt>
                <c:pt idx="98">
                  <c:v>1.2876000000000001</c:v>
                </c:pt>
                <c:pt idx="99">
                  <c:v>1.3071999999999999</c:v>
                </c:pt>
                <c:pt idx="100">
                  <c:v>1.3048999999999999</c:v>
                </c:pt>
                <c:pt idx="101">
                  <c:v>1.3095000000000001</c:v>
                </c:pt>
                <c:pt idx="102">
                  <c:v>1.3345</c:v>
                </c:pt>
                <c:pt idx="103">
                  <c:v>1.3213999999999999</c:v>
                </c:pt>
                <c:pt idx="104">
                  <c:v>1.3119000000000001</c:v>
                </c:pt>
                <c:pt idx="105">
                  <c:v>1.3078000000000001</c:v>
                </c:pt>
                <c:pt idx="106">
                  <c:v>1.3125</c:v>
                </c:pt>
                <c:pt idx="107">
                  <c:v>1.3231999999999999</c:v>
                </c:pt>
                <c:pt idx="108">
                  <c:v>1.2974000000000001</c:v>
                </c:pt>
                <c:pt idx="109">
                  <c:v>1.2692000000000001</c:v>
                </c:pt>
                <c:pt idx="110">
                  <c:v>1.2373000000000001</c:v>
                </c:pt>
                <c:pt idx="111">
                  <c:v>1.2004999999999999</c:v>
                </c:pt>
                <c:pt idx="112">
                  <c:v>1.1568000000000001</c:v>
                </c:pt>
                <c:pt idx="113">
                  <c:v>1.1059000000000001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00-4340-B6C0-CD02B89862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9285392"/>
        <c:axId val="529284976"/>
      </c:scatterChart>
      <c:scatterChart>
        <c:scatterStyle val="lineMarker"/>
        <c:varyColors val="0"/>
        <c:ser>
          <c:idx val="2"/>
          <c:order val="1"/>
          <c:tx>
            <c:strRef>
              <c:f>'Airfoil data'!$E$4</c:f>
              <c:strCache>
                <c:ptCount val="1"/>
                <c:pt idx="0">
                  <c:v>CD/CL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'Airfoil data'!$P$5:$P$153</c:f>
              <c:numCache>
                <c:formatCode>General</c:formatCode>
                <c:ptCount val="149"/>
                <c:pt idx="0">
                  <c:v>-11.75</c:v>
                </c:pt>
                <c:pt idx="1">
                  <c:v>-11.5</c:v>
                </c:pt>
                <c:pt idx="2">
                  <c:v>-11.25</c:v>
                </c:pt>
                <c:pt idx="3">
                  <c:v>-11</c:v>
                </c:pt>
                <c:pt idx="4">
                  <c:v>-10.75</c:v>
                </c:pt>
                <c:pt idx="5">
                  <c:v>-10.5</c:v>
                </c:pt>
                <c:pt idx="6">
                  <c:v>-10.25</c:v>
                </c:pt>
                <c:pt idx="7">
                  <c:v>-10</c:v>
                </c:pt>
                <c:pt idx="8">
                  <c:v>-9.75</c:v>
                </c:pt>
                <c:pt idx="9">
                  <c:v>-9.5</c:v>
                </c:pt>
                <c:pt idx="10">
                  <c:v>-9.25</c:v>
                </c:pt>
                <c:pt idx="11">
                  <c:v>-9</c:v>
                </c:pt>
                <c:pt idx="12">
                  <c:v>-8.75</c:v>
                </c:pt>
                <c:pt idx="13">
                  <c:v>-8.5</c:v>
                </c:pt>
                <c:pt idx="14">
                  <c:v>-8.25</c:v>
                </c:pt>
                <c:pt idx="15">
                  <c:v>-8</c:v>
                </c:pt>
                <c:pt idx="16">
                  <c:v>-7.75</c:v>
                </c:pt>
                <c:pt idx="17">
                  <c:v>-7.5</c:v>
                </c:pt>
                <c:pt idx="18">
                  <c:v>-7.25</c:v>
                </c:pt>
                <c:pt idx="19">
                  <c:v>-7</c:v>
                </c:pt>
                <c:pt idx="20">
                  <c:v>-6.75</c:v>
                </c:pt>
                <c:pt idx="21">
                  <c:v>-6.5</c:v>
                </c:pt>
                <c:pt idx="22">
                  <c:v>-6.25</c:v>
                </c:pt>
                <c:pt idx="23">
                  <c:v>-6</c:v>
                </c:pt>
                <c:pt idx="24">
                  <c:v>-5.75</c:v>
                </c:pt>
                <c:pt idx="25">
                  <c:v>-5.5</c:v>
                </c:pt>
                <c:pt idx="26">
                  <c:v>-5.25</c:v>
                </c:pt>
                <c:pt idx="27">
                  <c:v>-5</c:v>
                </c:pt>
                <c:pt idx="28">
                  <c:v>-4.75</c:v>
                </c:pt>
                <c:pt idx="29">
                  <c:v>-4.5</c:v>
                </c:pt>
                <c:pt idx="30">
                  <c:v>-4.25</c:v>
                </c:pt>
                <c:pt idx="31">
                  <c:v>-4</c:v>
                </c:pt>
                <c:pt idx="32">
                  <c:v>-3.75</c:v>
                </c:pt>
                <c:pt idx="33">
                  <c:v>-3.5</c:v>
                </c:pt>
                <c:pt idx="34">
                  <c:v>-3.25</c:v>
                </c:pt>
                <c:pt idx="35">
                  <c:v>-3</c:v>
                </c:pt>
                <c:pt idx="36">
                  <c:v>-2.75</c:v>
                </c:pt>
                <c:pt idx="37">
                  <c:v>-2.5</c:v>
                </c:pt>
                <c:pt idx="38">
                  <c:v>-2.25</c:v>
                </c:pt>
                <c:pt idx="39">
                  <c:v>-2</c:v>
                </c:pt>
                <c:pt idx="40">
                  <c:v>-1.75</c:v>
                </c:pt>
                <c:pt idx="41">
                  <c:v>-1.5</c:v>
                </c:pt>
                <c:pt idx="42">
                  <c:v>-1.25</c:v>
                </c:pt>
                <c:pt idx="43">
                  <c:v>-1</c:v>
                </c:pt>
                <c:pt idx="44">
                  <c:v>-0.75</c:v>
                </c:pt>
                <c:pt idx="45">
                  <c:v>-0.5</c:v>
                </c:pt>
                <c:pt idx="46">
                  <c:v>-0.25</c:v>
                </c:pt>
                <c:pt idx="47">
                  <c:v>0</c:v>
                </c:pt>
                <c:pt idx="48">
                  <c:v>0.25</c:v>
                </c:pt>
                <c:pt idx="49">
                  <c:v>0.5</c:v>
                </c:pt>
                <c:pt idx="50">
                  <c:v>0.75</c:v>
                </c:pt>
                <c:pt idx="51">
                  <c:v>1</c:v>
                </c:pt>
                <c:pt idx="52">
                  <c:v>1.25</c:v>
                </c:pt>
                <c:pt idx="53">
                  <c:v>1.5</c:v>
                </c:pt>
                <c:pt idx="54">
                  <c:v>1.75</c:v>
                </c:pt>
                <c:pt idx="55">
                  <c:v>2</c:v>
                </c:pt>
                <c:pt idx="56">
                  <c:v>2.25</c:v>
                </c:pt>
                <c:pt idx="57">
                  <c:v>2.5</c:v>
                </c:pt>
                <c:pt idx="58">
                  <c:v>2.75</c:v>
                </c:pt>
                <c:pt idx="59">
                  <c:v>3</c:v>
                </c:pt>
                <c:pt idx="60">
                  <c:v>3.25</c:v>
                </c:pt>
                <c:pt idx="61">
                  <c:v>3.5</c:v>
                </c:pt>
                <c:pt idx="62">
                  <c:v>3.75</c:v>
                </c:pt>
                <c:pt idx="63">
                  <c:v>4</c:v>
                </c:pt>
                <c:pt idx="64">
                  <c:v>4.25</c:v>
                </c:pt>
                <c:pt idx="65">
                  <c:v>4.5</c:v>
                </c:pt>
                <c:pt idx="66">
                  <c:v>4.75</c:v>
                </c:pt>
                <c:pt idx="67">
                  <c:v>5</c:v>
                </c:pt>
                <c:pt idx="68">
                  <c:v>5.25</c:v>
                </c:pt>
                <c:pt idx="69">
                  <c:v>5.5</c:v>
                </c:pt>
                <c:pt idx="70">
                  <c:v>5.75</c:v>
                </c:pt>
                <c:pt idx="71">
                  <c:v>6</c:v>
                </c:pt>
                <c:pt idx="72">
                  <c:v>6.25</c:v>
                </c:pt>
                <c:pt idx="73">
                  <c:v>6.5</c:v>
                </c:pt>
                <c:pt idx="74">
                  <c:v>6.75</c:v>
                </c:pt>
                <c:pt idx="75">
                  <c:v>7</c:v>
                </c:pt>
                <c:pt idx="76">
                  <c:v>7.25</c:v>
                </c:pt>
                <c:pt idx="77">
                  <c:v>7.5</c:v>
                </c:pt>
                <c:pt idx="78">
                  <c:v>7.75</c:v>
                </c:pt>
                <c:pt idx="79">
                  <c:v>8</c:v>
                </c:pt>
                <c:pt idx="80">
                  <c:v>8.25</c:v>
                </c:pt>
                <c:pt idx="81">
                  <c:v>8.5</c:v>
                </c:pt>
                <c:pt idx="82">
                  <c:v>8.75</c:v>
                </c:pt>
                <c:pt idx="83">
                  <c:v>9</c:v>
                </c:pt>
                <c:pt idx="84">
                  <c:v>9.25</c:v>
                </c:pt>
                <c:pt idx="85">
                  <c:v>9.5</c:v>
                </c:pt>
                <c:pt idx="86">
                  <c:v>9.75</c:v>
                </c:pt>
                <c:pt idx="87">
                  <c:v>10</c:v>
                </c:pt>
                <c:pt idx="88">
                  <c:v>10.25</c:v>
                </c:pt>
                <c:pt idx="89">
                  <c:v>10.5</c:v>
                </c:pt>
                <c:pt idx="90">
                  <c:v>10.75</c:v>
                </c:pt>
                <c:pt idx="91">
                  <c:v>11</c:v>
                </c:pt>
                <c:pt idx="92">
                  <c:v>11.25</c:v>
                </c:pt>
                <c:pt idx="93">
                  <c:v>11.5</c:v>
                </c:pt>
                <c:pt idx="94">
                  <c:v>11.75</c:v>
                </c:pt>
                <c:pt idx="95">
                  <c:v>12</c:v>
                </c:pt>
                <c:pt idx="96">
                  <c:v>12.25</c:v>
                </c:pt>
                <c:pt idx="97">
                  <c:v>12.5</c:v>
                </c:pt>
                <c:pt idx="98">
                  <c:v>12.75</c:v>
                </c:pt>
                <c:pt idx="99">
                  <c:v>13</c:v>
                </c:pt>
                <c:pt idx="100">
                  <c:v>13.25</c:v>
                </c:pt>
                <c:pt idx="101">
                  <c:v>13.5</c:v>
                </c:pt>
                <c:pt idx="102">
                  <c:v>13.75</c:v>
                </c:pt>
                <c:pt idx="103">
                  <c:v>14</c:v>
                </c:pt>
                <c:pt idx="104">
                  <c:v>14.25</c:v>
                </c:pt>
                <c:pt idx="105">
                  <c:v>14.5</c:v>
                </c:pt>
                <c:pt idx="106">
                  <c:v>14.75</c:v>
                </c:pt>
                <c:pt idx="107">
                  <c:v>15</c:v>
                </c:pt>
                <c:pt idx="108">
                  <c:v>15.25</c:v>
                </c:pt>
                <c:pt idx="109">
                  <c:v>15.5</c:v>
                </c:pt>
                <c:pt idx="110">
                  <c:v>15.75</c:v>
                </c:pt>
                <c:pt idx="111">
                  <c:v>16</c:v>
                </c:pt>
                <c:pt idx="112">
                  <c:v>16.25</c:v>
                </c:pt>
                <c:pt idx="113">
                  <c:v>16.5</c:v>
                </c:pt>
              </c:numCache>
            </c:numRef>
          </c:xVal>
          <c:yVal>
            <c:numRef>
              <c:f>'Airfoil data'!$S$5:$S$153</c:f>
              <c:numCache>
                <c:formatCode>General</c:formatCode>
                <c:ptCount val="149"/>
                <c:pt idx="0">
                  <c:v>-0.11984017212232979</c:v>
                </c:pt>
                <c:pt idx="1">
                  <c:v>-0.10370479270802706</c:v>
                </c:pt>
                <c:pt idx="2">
                  <c:v>-8.985224421522163E-2</c:v>
                </c:pt>
                <c:pt idx="3">
                  <c:v>-7.9812144463553378E-2</c:v>
                </c:pt>
                <c:pt idx="4">
                  <c:v>-7.1450265755504935E-2</c:v>
                </c:pt>
                <c:pt idx="5">
                  <c:v>-6.4506663406284387E-2</c:v>
                </c:pt>
                <c:pt idx="6">
                  <c:v>-5.8747171608907939E-2</c:v>
                </c:pt>
                <c:pt idx="7">
                  <c:v>-5.3935077066791216E-2</c:v>
                </c:pt>
                <c:pt idx="8">
                  <c:v>-5.0517742873763816E-2</c:v>
                </c:pt>
                <c:pt idx="9">
                  <c:v>-4.9775147928994082E-2</c:v>
                </c:pt>
                <c:pt idx="10">
                  <c:v>-4.8522903958856604E-2</c:v>
                </c:pt>
                <c:pt idx="11">
                  <c:v>-4.643028846153846E-2</c:v>
                </c:pt>
                <c:pt idx="12">
                  <c:v>-4.4092114781769949E-2</c:v>
                </c:pt>
                <c:pt idx="13">
                  <c:v>-4.2722256284488044E-2</c:v>
                </c:pt>
                <c:pt idx="14">
                  <c:v>-4.2271648131950515E-2</c:v>
                </c:pt>
                <c:pt idx="15">
                  <c:v>-4.1248889452976265E-2</c:v>
                </c:pt>
                <c:pt idx="16">
                  <c:v>-4.0080186239006728E-2</c:v>
                </c:pt>
                <c:pt idx="17">
                  <c:v>-3.9886228337081622E-2</c:v>
                </c:pt>
                <c:pt idx="18">
                  <c:v>-3.9437761859710777E-2</c:v>
                </c:pt>
                <c:pt idx="19">
                  <c:v>-3.8971301816165253E-2</c:v>
                </c:pt>
                <c:pt idx="20">
                  <c:v>-3.8998719954487275E-2</c:v>
                </c:pt>
                <c:pt idx="21">
                  <c:v>-3.8797894121088042E-2</c:v>
                </c:pt>
                <c:pt idx="22">
                  <c:v>-3.908201655379985E-2</c:v>
                </c:pt>
                <c:pt idx="23">
                  <c:v>-3.9190446650124069E-2</c:v>
                </c:pt>
                <c:pt idx="24">
                  <c:v>-3.9702590342181009E-2</c:v>
                </c:pt>
                <c:pt idx="25">
                  <c:v>-4.0075957727873181E-2</c:v>
                </c:pt>
                <c:pt idx="26">
                  <c:v>-4.0611130078525091E-2</c:v>
                </c:pt>
                <c:pt idx="27">
                  <c:v>-4.138844727080021E-2</c:v>
                </c:pt>
                <c:pt idx="28">
                  <c:v>-4.3739344572835757E-2</c:v>
                </c:pt>
                <c:pt idx="29">
                  <c:v>-4.7079463364293091E-2</c:v>
                </c:pt>
                <c:pt idx="30">
                  <c:v>-5.1444823663253703E-2</c:v>
                </c:pt>
                <c:pt idx="31">
                  <c:v>-5.5853597392830287E-2</c:v>
                </c:pt>
                <c:pt idx="32">
                  <c:v>-6.129211918685603E-2</c:v>
                </c:pt>
                <c:pt idx="33">
                  <c:v>-6.9059720457433277E-2</c:v>
                </c:pt>
                <c:pt idx="34">
                  <c:v>-7.6436986790431982E-2</c:v>
                </c:pt>
                <c:pt idx="35">
                  <c:v>-8.9109328830730264E-2</c:v>
                </c:pt>
                <c:pt idx="36">
                  <c:v>-0.10251231527093595</c:v>
                </c:pt>
                <c:pt idx="37">
                  <c:v>-0.12270011947431303</c:v>
                </c:pt>
                <c:pt idx="38">
                  <c:v>-0.15755451713395641</c:v>
                </c:pt>
                <c:pt idx="39">
                  <c:v>-0.20522540983606555</c:v>
                </c:pt>
                <c:pt idx="40">
                  <c:v>-0.35249999999999998</c:v>
                </c:pt>
                <c:pt idx="41">
                  <c:v>-0.70250000000000001</c:v>
                </c:pt>
                <c:pt idx="42">
                  <c:v>1.4323529411764708</c:v>
                </c:pt>
                <c:pt idx="43">
                  <c:v>0.45150115473441116</c:v>
                </c:pt>
                <c:pt idx="44">
                  <c:v>0.2123362445414847</c:v>
                </c:pt>
                <c:pt idx="45">
                  <c:v>0.13947180585296215</c:v>
                </c:pt>
                <c:pt idx="46">
                  <c:v>9.4860499265785617E-2</c:v>
                </c:pt>
                <c:pt idx="47">
                  <c:v>6.9720101781170482E-2</c:v>
                </c:pt>
                <c:pt idx="48">
                  <c:v>5.4492753623188415E-2</c:v>
                </c:pt>
                <c:pt idx="49">
                  <c:v>4.4907407407407403E-2</c:v>
                </c:pt>
                <c:pt idx="50">
                  <c:v>3.7628757620348958E-2</c:v>
                </c:pt>
                <c:pt idx="51">
                  <c:v>3.529883674288007E-2</c:v>
                </c:pt>
                <c:pt idx="52">
                  <c:v>3.3895022273871783E-2</c:v>
                </c:pt>
                <c:pt idx="53">
                  <c:v>3.2622920171994765E-2</c:v>
                </c:pt>
                <c:pt idx="54">
                  <c:v>3.1421356421356426E-2</c:v>
                </c:pt>
                <c:pt idx="55">
                  <c:v>3.0133657351154319E-2</c:v>
                </c:pt>
                <c:pt idx="56">
                  <c:v>2.9090604588846092E-2</c:v>
                </c:pt>
                <c:pt idx="57">
                  <c:v>2.8413703523299239E-2</c:v>
                </c:pt>
                <c:pt idx="58">
                  <c:v>2.771141150581578E-2</c:v>
                </c:pt>
                <c:pt idx="59">
                  <c:v>2.6882210078931389E-2</c:v>
                </c:pt>
                <c:pt idx="60">
                  <c:v>2.6175088131609871E-2</c:v>
                </c:pt>
                <c:pt idx="61">
                  <c:v>2.5771428571428574E-2</c:v>
                </c:pt>
                <c:pt idx="62">
                  <c:v>2.5298196948682385E-2</c:v>
                </c:pt>
                <c:pt idx="63">
                  <c:v>2.4727859158715226E-2</c:v>
                </c:pt>
                <c:pt idx="64">
                  <c:v>2.4214369539705304E-2</c:v>
                </c:pt>
                <c:pt idx="65">
                  <c:v>2.3944557477110884E-2</c:v>
                </c:pt>
                <c:pt idx="66">
                  <c:v>2.3649653121902873E-2</c:v>
                </c:pt>
                <c:pt idx="67">
                  <c:v>2.3299565846599132E-2</c:v>
                </c:pt>
                <c:pt idx="68">
                  <c:v>2.2900046926325666E-2</c:v>
                </c:pt>
                <c:pt idx="69">
                  <c:v>2.2594668802196547E-2</c:v>
                </c:pt>
                <c:pt idx="70">
                  <c:v>2.2412442654134494E-2</c:v>
                </c:pt>
                <c:pt idx="71">
                  <c:v>2.2225869993434014E-2</c:v>
                </c:pt>
                <c:pt idx="72">
                  <c:v>2.2042607857831065E-2</c:v>
                </c:pt>
                <c:pt idx="73">
                  <c:v>2.1875327396542691E-2</c:v>
                </c:pt>
                <c:pt idx="74">
                  <c:v>2.1723961005643919E-2</c:v>
                </c:pt>
                <c:pt idx="75">
                  <c:v>2.1607484156523488E-2</c:v>
                </c:pt>
                <c:pt idx="76">
                  <c:v>2.1510365251727545E-2</c:v>
                </c:pt>
                <c:pt idx="77">
                  <c:v>2.1462515759868104E-2</c:v>
                </c:pt>
                <c:pt idx="78">
                  <c:v>2.1470812666921021E-2</c:v>
                </c:pt>
                <c:pt idx="79">
                  <c:v>2.1523147713400321E-2</c:v>
                </c:pt>
                <c:pt idx="80">
                  <c:v>2.1661885814749701E-2</c:v>
                </c:pt>
                <c:pt idx="81">
                  <c:v>2.1879562043795622E-2</c:v>
                </c:pt>
                <c:pt idx="82">
                  <c:v>2.2221220589560983E-2</c:v>
                </c:pt>
                <c:pt idx="83">
                  <c:v>2.2639322336156932E-2</c:v>
                </c:pt>
                <c:pt idx="84">
                  <c:v>2.31271507985529E-2</c:v>
                </c:pt>
                <c:pt idx="85">
                  <c:v>2.3685130176480863E-2</c:v>
                </c:pt>
                <c:pt idx="86">
                  <c:v>2.430116832540026E-2</c:v>
                </c:pt>
                <c:pt idx="87">
                  <c:v>2.4965706447187926E-2</c:v>
                </c:pt>
                <c:pt idx="88">
                  <c:v>2.5656273893466995E-2</c:v>
                </c:pt>
                <c:pt idx="89">
                  <c:v>2.6356132075471696E-2</c:v>
                </c:pt>
                <c:pt idx="90">
                  <c:v>2.7183004349280698E-2</c:v>
                </c:pt>
                <c:pt idx="91">
                  <c:v>2.8003643288896252E-2</c:v>
                </c:pt>
                <c:pt idx="92">
                  <c:v>2.8694228407695452E-2</c:v>
                </c:pt>
                <c:pt idx="93">
                  <c:v>2.9703131354209024E-2</c:v>
                </c:pt>
                <c:pt idx="94">
                  <c:v>3.0343007915567283E-2</c:v>
                </c:pt>
                <c:pt idx="95">
                  <c:v>3.1505865453674883E-2</c:v>
                </c:pt>
                <c:pt idx="96">
                  <c:v>3.2025939526525507E-2</c:v>
                </c:pt>
                <c:pt idx="97">
                  <c:v>3.3432438776308582E-2</c:v>
                </c:pt>
                <c:pt idx="98">
                  <c:v>3.4405094749922337E-2</c:v>
                </c:pt>
                <c:pt idx="99">
                  <c:v>3.5304467564259485E-2</c:v>
                </c:pt>
                <c:pt idx="100">
                  <c:v>3.6983676910108051E-2</c:v>
                </c:pt>
                <c:pt idx="101">
                  <c:v>3.8312332951508203E-2</c:v>
                </c:pt>
                <c:pt idx="102">
                  <c:v>3.9010865492693891E-2</c:v>
                </c:pt>
                <c:pt idx="103">
                  <c:v>4.1448463750567585E-2</c:v>
                </c:pt>
                <c:pt idx="104">
                  <c:v>4.3959143227380135E-2</c:v>
                </c:pt>
                <c:pt idx="105">
                  <c:v>4.6192078299434162E-2</c:v>
                </c:pt>
                <c:pt idx="106">
                  <c:v>4.7748571428571432E-2</c:v>
                </c:pt>
                <c:pt idx="107">
                  <c:v>4.9402962515114876E-2</c:v>
                </c:pt>
                <c:pt idx="108">
                  <c:v>5.375366116849082E-2</c:v>
                </c:pt>
                <c:pt idx="109">
                  <c:v>5.8982035928143703E-2</c:v>
                </c:pt>
                <c:pt idx="110">
                  <c:v>6.5392386648347206E-2</c:v>
                </c:pt>
                <c:pt idx="111">
                  <c:v>7.3461057892544784E-2</c:v>
                </c:pt>
                <c:pt idx="112">
                  <c:v>8.4024896265560159E-2</c:v>
                </c:pt>
                <c:pt idx="113">
                  <c:v>9.8272899900533492E-2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00-4340-B6C0-CD02B89862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139648"/>
        <c:axId val="1419137152"/>
      </c:scatterChart>
      <c:valAx>
        <c:axId val="529285392"/>
        <c:scaling>
          <c:orientation val="minMax"/>
          <c:max val="1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Angle of attack, </a:t>
                </a:r>
                <a:r>
                  <a:rPr lang="fi-FI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°</a:t>
                </a:r>
                <a:endParaRPr lang="fi-FI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headEnd type="none" w="med" len="med"/>
            <a:tailEnd type="non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529284976"/>
        <c:crosses val="autoZero"/>
        <c:crossBetween val="midCat"/>
      </c:valAx>
      <c:valAx>
        <c:axId val="529284976"/>
        <c:scaling>
          <c:orientation val="minMax"/>
          <c:max val="1.7000000000000002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Lift coefficient, </a:t>
                </a:r>
                <a:r>
                  <a:rPr lang="fi-FI" i="1"/>
                  <a:t>C</a:t>
                </a:r>
                <a:r>
                  <a:rPr lang="fi-FI" baseline="-25000"/>
                  <a:t>L</a:t>
                </a:r>
                <a:r>
                  <a:rPr lang="fi-FI"/>
                  <a:t>,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529285392"/>
        <c:crosses val="autoZero"/>
        <c:crossBetween val="midCat"/>
      </c:valAx>
      <c:valAx>
        <c:axId val="1419137152"/>
        <c:scaling>
          <c:orientation val="minMax"/>
          <c:max val="0.15000000000000002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 i="1"/>
                  <a:t>C</a:t>
                </a:r>
                <a:r>
                  <a:rPr lang="fi-FI" baseline="-25000"/>
                  <a:t>D </a:t>
                </a:r>
                <a:r>
                  <a:rPr lang="fi-FI" i="0"/>
                  <a:t>/ </a:t>
                </a:r>
                <a:r>
                  <a:rPr lang="fi-FI" i="1"/>
                  <a:t>C</a:t>
                </a:r>
                <a:r>
                  <a:rPr lang="fi-FI" baseline="-25000"/>
                  <a:t>L</a:t>
                </a:r>
                <a:r>
                  <a:rPr lang="fi-FI"/>
                  <a:t>,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419139648"/>
        <c:crosses val="max"/>
        <c:crossBetween val="midCat"/>
      </c:valAx>
      <c:valAx>
        <c:axId val="1419139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9137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/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1"/>
          <c:tx>
            <c:strRef>
              <c:f>'Design.Wake rotation 1 m. 5.4'!$N$13</c:f>
              <c:strCache>
                <c:ptCount val="1"/>
                <c:pt idx="0">
                  <c:v>CL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layout>
                <c:manualLayout>
                  <c:x val="-1.6115485564304463E-2"/>
                  <c:y val="2.095450220116907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FI"/>
                </a:p>
              </c:txPr>
            </c:trendlineLbl>
          </c:trendline>
          <c:xVal>
            <c:numRef>
              <c:f>'Design.Wake rotation 1 m. 5.4'!$L$14:$L$18</c:f>
              <c:numCache>
                <c:formatCode>General</c:formatCode>
                <c:ptCount val="5"/>
                <c:pt idx="0">
                  <c:v>50000</c:v>
                </c:pt>
                <c:pt idx="1">
                  <c:v>100000</c:v>
                </c:pt>
                <c:pt idx="2">
                  <c:v>200000</c:v>
                </c:pt>
                <c:pt idx="3">
                  <c:v>500000</c:v>
                </c:pt>
                <c:pt idx="4">
                  <c:v>1000000</c:v>
                </c:pt>
              </c:numCache>
            </c:numRef>
          </c:xVal>
          <c:yVal>
            <c:numRef>
              <c:f>'Design.Wake rotation 1 m. 5.4'!$N$14:$N$18</c:f>
              <c:numCache>
                <c:formatCode>General</c:formatCode>
                <c:ptCount val="5"/>
                <c:pt idx="0">
                  <c:v>1.123</c:v>
                </c:pt>
                <c:pt idx="1">
                  <c:v>1.0310999999999999</c:v>
                </c:pt>
                <c:pt idx="2">
                  <c:v>0.97260000000000002</c:v>
                </c:pt>
                <c:pt idx="3">
                  <c:v>0.90690000000000004</c:v>
                </c:pt>
                <c:pt idx="4">
                  <c:v>0.9274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D19-41E7-B25A-C363332AFFC3}"/>
            </c:ext>
          </c:extLst>
        </c:ser>
        <c:ser>
          <c:idx val="2"/>
          <c:order val="2"/>
          <c:tx>
            <c:strRef>
              <c:f>'Design.Wake rotation 1 m. 5.4'!$O$13</c:f>
              <c:strCache>
                <c:ptCount val="1"/>
                <c:pt idx="0">
                  <c:v>CD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layout>
                <c:manualLayout>
                  <c:x val="-2.4448818897637795E-2"/>
                  <c:y val="-1.345672428396659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FI"/>
                </a:p>
              </c:txPr>
            </c:trendlineLbl>
          </c:trendline>
          <c:xVal>
            <c:numRef>
              <c:f>'Design.Wake rotation 1 m. 5.4'!$L$14:$L$18</c:f>
              <c:numCache>
                <c:formatCode>General</c:formatCode>
                <c:ptCount val="5"/>
                <c:pt idx="0">
                  <c:v>50000</c:v>
                </c:pt>
                <c:pt idx="1">
                  <c:v>100000</c:v>
                </c:pt>
                <c:pt idx="2">
                  <c:v>200000</c:v>
                </c:pt>
                <c:pt idx="3">
                  <c:v>500000</c:v>
                </c:pt>
                <c:pt idx="4">
                  <c:v>1000000</c:v>
                </c:pt>
              </c:numCache>
            </c:numRef>
          </c:xVal>
          <c:yVal>
            <c:numRef>
              <c:f>'Design.Wake rotation 1 m. 5.4'!$O$14:$O$18</c:f>
              <c:numCache>
                <c:formatCode>General</c:formatCode>
                <c:ptCount val="5"/>
                <c:pt idx="0">
                  <c:v>4.2770000000000002E-2</c:v>
                </c:pt>
                <c:pt idx="1">
                  <c:v>2.213E-2</c:v>
                </c:pt>
                <c:pt idx="2">
                  <c:v>1.516E-2</c:v>
                </c:pt>
                <c:pt idx="3">
                  <c:v>1.0410000000000001E-2</c:v>
                </c:pt>
                <c:pt idx="4">
                  <c:v>8.9999999999999993E-3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D19-41E7-B25A-C363332AF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6641520"/>
        <c:axId val="1746641104"/>
      </c:scatterChart>
      <c:scatterChart>
        <c:scatterStyle val="smoothMarker"/>
        <c:varyColors val="0"/>
        <c:ser>
          <c:idx val="0"/>
          <c:order val="0"/>
          <c:tx>
            <c:strRef>
              <c:f>'Design.Wake rotation 1 m. 5.4'!$M$13</c:f>
              <c:strCache>
                <c:ptCount val="1"/>
                <c:pt idx="0">
                  <c:v>alfa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1"/>
            <c:trendlineLbl>
              <c:layout>
                <c:manualLayout>
                  <c:x val="-2.3226596675415573E-2"/>
                  <c:y val="1.4322552310443267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FI"/>
                </a:p>
              </c:txPr>
            </c:trendlineLbl>
          </c:trendline>
          <c:xVal>
            <c:numRef>
              <c:f>'Design.Wake rotation 1 m. 5.4'!$L$14:$L$18</c:f>
              <c:numCache>
                <c:formatCode>General</c:formatCode>
                <c:ptCount val="5"/>
                <c:pt idx="0">
                  <c:v>50000</c:v>
                </c:pt>
                <c:pt idx="1">
                  <c:v>100000</c:v>
                </c:pt>
                <c:pt idx="2">
                  <c:v>200000</c:v>
                </c:pt>
                <c:pt idx="3">
                  <c:v>500000</c:v>
                </c:pt>
                <c:pt idx="4">
                  <c:v>1000000</c:v>
                </c:pt>
              </c:numCache>
            </c:numRef>
          </c:xVal>
          <c:yVal>
            <c:numRef>
              <c:f>'Design.Wake rotation 1 m. 5.4'!$M$14:$M$18</c:f>
              <c:numCache>
                <c:formatCode>General</c:formatCode>
                <c:ptCount val="5"/>
                <c:pt idx="0">
                  <c:v>9.5</c:v>
                </c:pt>
                <c:pt idx="1">
                  <c:v>7.5</c:v>
                </c:pt>
                <c:pt idx="2">
                  <c:v>6.75</c:v>
                </c:pt>
                <c:pt idx="3">
                  <c:v>5.75</c:v>
                </c:pt>
                <c:pt idx="4">
                  <c:v>5.75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19-41E7-B25A-C363332AF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1423504"/>
        <c:axId val="1499878256"/>
      </c:scatterChart>
      <c:valAx>
        <c:axId val="1746641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746641104"/>
        <c:crosses val="autoZero"/>
        <c:crossBetween val="midCat"/>
      </c:valAx>
      <c:valAx>
        <c:axId val="1746641104"/>
        <c:scaling>
          <c:orientation val="minMax"/>
          <c:max val="1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746641520"/>
        <c:crosses val="autoZero"/>
        <c:crossBetween val="midCat"/>
      </c:valAx>
      <c:valAx>
        <c:axId val="14998782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781423504"/>
        <c:crosses val="max"/>
        <c:crossBetween val="midCat"/>
      </c:valAx>
      <c:valAx>
        <c:axId val="1781423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9878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FI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'Design.Wake rotation 15 MW, 5.5'!$X$53</c:f>
              <c:strCache>
                <c:ptCount val="1"/>
                <c:pt idx="0">
                  <c:v>Cp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'Design.Wake rotation 15 MW, 5.5'!$W$54:$W$79</c:f>
              <c:numCache>
                <c:formatCode>General</c:formatCode>
                <c:ptCount val="26"/>
                <c:pt idx="0">
                  <c:v>2.1624629432209743</c:v>
                </c:pt>
                <c:pt idx="1">
                  <c:v>2.4713862208239705</c:v>
                </c:pt>
                <c:pt idx="2">
                  <c:v>3.0892327760299629</c:v>
                </c:pt>
                <c:pt idx="3">
                  <c:v>3.7070793312359553</c:v>
                </c:pt>
                <c:pt idx="4">
                  <c:v>4.3249258864419486</c:v>
                </c:pt>
                <c:pt idx="5">
                  <c:v>4.9427724416479411</c:v>
                </c:pt>
                <c:pt idx="6">
                  <c:v>5.5606189968539343</c:v>
                </c:pt>
                <c:pt idx="7">
                  <c:v>6.1784655520599259</c:v>
                </c:pt>
                <c:pt idx="8">
                  <c:v>6.7963121072659174</c:v>
                </c:pt>
                <c:pt idx="9">
                  <c:v>7.4141586624719107</c:v>
                </c:pt>
                <c:pt idx="10">
                  <c:v>8.0320052176779058</c:v>
                </c:pt>
                <c:pt idx="11">
                  <c:v>8.6498517728838973</c:v>
                </c:pt>
                <c:pt idx="12">
                  <c:v>9.2676983280898888</c:v>
                </c:pt>
                <c:pt idx="13">
                  <c:v>9.8855448832958821</c:v>
                </c:pt>
                <c:pt idx="14">
                  <c:v>10.503391438501875</c:v>
                </c:pt>
                <c:pt idx="15">
                  <c:v>11.121237993707869</c:v>
                </c:pt>
                <c:pt idx="16">
                  <c:v>11.73908454891386</c:v>
                </c:pt>
                <c:pt idx="17">
                  <c:v>12.356931104119852</c:v>
                </c:pt>
                <c:pt idx="18">
                  <c:v>12.974777659325847</c:v>
                </c:pt>
                <c:pt idx="19">
                  <c:v>13.592624214531835</c:v>
                </c:pt>
                <c:pt idx="20">
                  <c:v>14.21047076973783</c:v>
                </c:pt>
                <c:pt idx="21">
                  <c:v>14.828317324943821</c:v>
                </c:pt>
                <c:pt idx="22">
                  <c:v>15.446163880149816</c:v>
                </c:pt>
                <c:pt idx="23">
                  <c:v>16.064010435355812</c:v>
                </c:pt>
                <c:pt idx="24">
                  <c:v>16.681856990561801</c:v>
                </c:pt>
              </c:numCache>
            </c:numRef>
          </c:xVal>
          <c:yVal>
            <c:numRef>
              <c:f>'Design.Wake rotation 15 MW, 5.5'!$X$54:$X$79</c:f>
              <c:numCache>
                <c:formatCode>General</c:formatCode>
                <c:ptCount val="26"/>
                <c:pt idx="0">
                  <c:v>4.5465035755018418E-3</c:v>
                </c:pt>
                <c:pt idx="1">
                  <c:v>2.245066474939357E-2</c:v>
                </c:pt>
                <c:pt idx="2">
                  <c:v>7.3337237396465943E-2</c:v>
                </c:pt>
                <c:pt idx="3">
                  <c:v>0.13795245865327654</c:v>
                </c:pt>
                <c:pt idx="4">
                  <c:v>0.20896637047809033</c:v>
                </c:pt>
                <c:pt idx="5">
                  <c:v>0.2801298349505954</c:v>
                </c:pt>
                <c:pt idx="6">
                  <c:v>0.34649680368012231</c:v>
                </c:pt>
                <c:pt idx="7">
                  <c:v>0.40434672530168903</c:v>
                </c:pt>
                <c:pt idx="8">
                  <c:v>0.45092762144723153</c:v>
                </c:pt>
                <c:pt idx="9">
                  <c:v>0.48402700898702677</c:v>
                </c:pt>
                <c:pt idx="10">
                  <c:v>0.50129350285494245</c:v>
                </c:pt>
                <c:pt idx="11">
                  <c:v>0.49778415427843614</c:v>
                </c:pt>
                <c:pt idx="12">
                  <c:v>0.47341469451527596</c:v>
                </c:pt>
                <c:pt idx="13">
                  <c:v>0.45189568288338838</c:v>
                </c:pt>
                <c:pt idx="14">
                  <c:v>0.42931370507256433</c:v>
                </c:pt>
                <c:pt idx="15">
                  <c:v>0.40451001610710052</c:v>
                </c:pt>
                <c:pt idx="16">
                  <c:v>0.37726377379372106</c:v>
                </c:pt>
                <c:pt idx="17">
                  <c:v>0.34750810727570275</c:v>
                </c:pt>
                <c:pt idx="18">
                  <c:v>0.31508100069081024</c:v>
                </c:pt>
                <c:pt idx="19">
                  <c:v>0.27980346297053177</c:v>
                </c:pt>
                <c:pt idx="20">
                  <c:v>0.24152915761201721</c:v>
                </c:pt>
                <c:pt idx="21">
                  <c:v>0.2003099953988797</c:v>
                </c:pt>
                <c:pt idx="22">
                  <c:v>0.15399155811586562</c:v>
                </c:pt>
                <c:pt idx="23">
                  <c:v>0.10989533699838351</c:v>
                </c:pt>
                <c:pt idx="24">
                  <c:v>5.8088932805922103E-2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FF1-42E6-8B98-EEEC60BA5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0661231"/>
        <c:axId val="1680654159"/>
      </c:scatterChart>
      <c:valAx>
        <c:axId val="1680661231"/>
        <c:scaling>
          <c:orientation val="minMax"/>
          <c:max val="19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>
                    <a:solidFill>
                      <a:sysClr val="windowText" lastClr="000000"/>
                    </a:solidFill>
                  </a:rPr>
                  <a:t>Tip speed ratio,  </a:t>
                </a:r>
                <a:r>
                  <a:rPr lang="el-GR">
                    <a:solidFill>
                      <a:sysClr val="windowText" lastClr="000000"/>
                    </a:solidFill>
                  </a:rPr>
                  <a:t>λ</a:t>
                </a:r>
                <a:endParaRPr lang="fi-FI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ysClr val="windowText" lastClr="000000"/>
            </a:solidFill>
            <a:round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680654159"/>
        <c:crosses val="autoZero"/>
        <c:crossBetween val="midCat"/>
        <c:majorUnit val="2"/>
      </c:valAx>
      <c:valAx>
        <c:axId val="1680654159"/>
        <c:scaling>
          <c:orientation val="minMax"/>
          <c:max val="0.65000000000000013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>
                    <a:solidFill>
                      <a:sysClr val="windowText" lastClr="000000"/>
                    </a:solidFill>
                  </a:rPr>
                  <a:t>Power coefficient, C</a:t>
                </a:r>
                <a:r>
                  <a:rPr lang="fi-FI" baseline="-25000">
                    <a:solidFill>
                      <a:sysClr val="windowText" lastClr="000000"/>
                    </a:solidFill>
                  </a:rPr>
                  <a:t>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prstDash val="solid"/>
            <a:miter lim="800000"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1680661231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/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'Design.Wake rotation 15 MW, 5.5'!$V$90</c:f>
              <c:strCache>
                <c:ptCount val="1"/>
                <c:pt idx="0">
                  <c:v>P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'Design.Wake rotation 15 MW, 5.5'!$S$91:$S$1000</c:f>
              <c:numCache>
                <c:formatCode>General</c:formatCode>
                <c:ptCount val="910"/>
                <c:pt idx="0">
                  <c:v>4.5</c:v>
                </c:pt>
                <c:pt idx="1">
                  <c:v>4.5999999999999996</c:v>
                </c:pt>
                <c:pt idx="2">
                  <c:v>4.6999999999999993</c:v>
                </c:pt>
                <c:pt idx="3">
                  <c:v>4.7999999999999989</c:v>
                </c:pt>
                <c:pt idx="4">
                  <c:v>4.8999999999999986</c:v>
                </c:pt>
                <c:pt idx="5">
                  <c:v>4.9999999999999982</c:v>
                </c:pt>
                <c:pt idx="6">
                  <c:v>5.0999999999999979</c:v>
                </c:pt>
                <c:pt idx="7">
                  <c:v>5.1999999999999975</c:v>
                </c:pt>
                <c:pt idx="8">
                  <c:v>5.2999999999999972</c:v>
                </c:pt>
                <c:pt idx="9">
                  <c:v>5.3999999999999968</c:v>
                </c:pt>
                <c:pt idx="10">
                  <c:v>5.4999999999999964</c:v>
                </c:pt>
                <c:pt idx="11">
                  <c:v>5.5999999999999961</c:v>
                </c:pt>
                <c:pt idx="12">
                  <c:v>5.6999999999999957</c:v>
                </c:pt>
                <c:pt idx="13">
                  <c:v>5.7999999999999954</c:v>
                </c:pt>
                <c:pt idx="14">
                  <c:v>5.899999999999995</c:v>
                </c:pt>
                <c:pt idx="15">
                  <c:v>5.9999999999999947</c:v>
                </c:pt>
                <c:pt idx="16">
                  <c:v>6.0999999999999943</c:v>
                </c:pt>
                <c:pt idx="17">
                  <c:v>6.199999999999994</c:v>
                </c:pt>
                <c:pt idx="18">
                  <c:v>6.2999999999999936</c:v>
                </c:pt>
                <c:pt idx="19">
                  <c:v>6.3999999999999932</c:v>
                </c:pt>
                <c:pt idx="20">
                  <c:v>6.4999999999999929</c:v>
                </c:pt>
                <c:pt idx="21">
                  <c:v>6.5999999999999925</c:v>
                </c:pt>
                <c:pt idx="22">
                  <c:v>6.6999999999999922</c:v>
                </c:pt>
                <c:pt idx="23">
                  <c:v>6.7999999999999918</c:v>
                </c:pt>
                <c:pt idx="24">
                  <c:v>6.8999999999999915</c:v>
                </c:pt>
                <c:pt idx="25">
                  <c:v>6.9999999999999911</c:v>
                </c:pt>
                <c:pt idx="26">
                  <c:v>7.0999999999999908</c:v>
                </c:pt>
                <c:pt idx="27">
                  <c:v>7.1999999999999904</c:v>
                </c:pt>
                <c:pt idx="28">
                  <c:v>7.2999999999999901</c:v>
                </c:pt>
                <c:pt idx="29">
                  <c:v>7.3999999999999897</c:v>
                </c:pt>
                <c:pt idx="30">
                  <c:v>7.4999999999999893</c:v>
                </c:pt>
                <c:pt idx="31">
                  <c:v>7.599999999999989</c:v>
                </c:pt>
                <c:pt idx="32">
                  <c:v>7.6999999999999886</c:v>
                </c:pt>
                <c:pt idx="33">
                  <c:v>7.7999999999999883</c:v>
                </c:pt>
                <c:pt idx="34">
                  <c:v>7.8999999999999879</c:v>
                </c:pt>
                <c:pt idx="35">
                  <c:v>7.9999999999999876</c:v>
                </c:pt>
                <c:pt idx="36">
                  <c:v>8.0999999999999872</c:v>
                </c:pt>
                <c:pt idx="37">
                  <c:v>8.1999999999999869</c:v>
                </c:pt>
                <c:pt idx="38">
                  <c:v>8.2999999999999865</c:v>
                </c:pt>
                <c:pt idx="39">
                  <c:v>8.3999999999999861</c:v>
                </c:pt>
                <c:pt idx="40">
                  <c:v>8.4999999999999858</c:v>
                </c:pt>
                <c:pt idx="41">
                  <c:v>8.5999999999999854</c:v>
                </c:pt>
                <c:pt idx="42">
                  <c:v>8.6999999999999851</c:v>
                </c:pt>
                <c:pt idx="43">
                  <c:v>8.7999999999999847</c:v>
                </c:pt>
                <c:pt idx="44">
                  <c:v>8.8999999999999844</c:v>
                </c:pt>
                <c:pt idx="45">
                  <c:v>8.999999999999984</c:v>
                </c:pt>
                <c:pt idx="46">
                  <c:v>9.0999999999999837</c:v>
                </c:pt>
                <c:pt idx="47">
                  <c:v>9.1999999999999833</c:v>
                </c:pt>
                <c:pt idx="48">
                  <c:v>9.2999999999999829</c:v>
                </c:pt>
                <c:pt idx="49">
                  <c:v>9.3999999999999826</c:v>
                </c:pt>
                <c:pt idx="50">
                  <c:v>9.4999999999999822</c:v>
                </c:pt>
                <c:pt idx="51">
                  <c:v>9.5999999999999819</c:v>
                </c:pt>
                <c:pt idx="52">
                  <c:v>9.6999999999999815</c:v>
                </c:pt>
                <c:pt idx="53">
                  <c:v>9.7999999999999812</c:v>
                </c:pt>
                <c:pt idx="54">
                  <c:v>9.8999999999999808</c:v>
                </c:pt>
                <c:pt idx="55">
                  <c:v>9.9999999999999805</c:v>
                </c:pt>
                <c:pt idx="56">
                  <c:v>10.09999999999998</c:v>
                </c:pt>
                <c:pt idx="57">
                  <c:v>10.19999999999998</c:v>
                </c:pt>
                <c:pt idx="58">
                  <c:v>10.299999999999979</c:v>
                </c:pt>
                <c:pt idx="59">
                  <c:v>10.399999999999979</c:v>
                </c:pt>
                <c:pt idx="60">
                  <c:v>10.499999999999979</c:v>
                </c:pt>
                <c:pt idx="61">
                  <c:v>10.599999999999978</c:v>
                </c:pt>
                <c:pt idx="62">
                  <c:v>10.699999999999978</c:v>
                </c:pt>
                <c:pt idx="63">
                  <c:v>10.799999999999978</c:v>
                </c:pt>
                <c:pt idx="64">
                  <c:v>10.899999999999977</c:v>
                </c:pt>
                <c:pt idx="65">
                  <c:v>10.999999999999977</c:v>
                </c:pt>
                <c:pt idx="66">
                  <c:v>11.099999999999977</c:v>
                </c:pt>
                <c:pt idx="67">
                  <c:v>11.199999999999976</c:v>
                </c:pt>
                <c:pt idx="68">
                  <c:v>11.299999999999976</c:v>
                </c:pt>
                <c:pt idx="69">
                  <c:v>11.399999999999975</c:v>
                </c:pt>
                <c:pt idx="70">
                  <c:v>11.499999999999975</c:v>
                </c:pt>
                <c:pt idx="71">
                  <c:v>11.599999999999975</c:v>
                </c:pt>
                <c:pt idx="72">
                  <c:v>11.699999999999974</c:v>
                </c:pt>
                <c:pt idx="73">
                  <c:v>11.799999999999974</c:v>
                </c:pt>
                <c:pt idx="74">
                  <c:v>11.899999999999974</c:v>
                </c:pt>
                <c:pt idx="75">
                  <c:v>11.999999999999973</c:v>
                </c:pt>
                <c:pt idx="76">
                  <c:v>12.099999999999973</c:v>
                </c:pt>
                <c:pt idx="77">
                  <c:v>12.199999999999973</c:v>
                </c:pt>
                <c:pt idx="78">
                  <c:v>12.299999999999972</c:v>
                </c:pt>
                <c:pt idx="79">
                  <c:v>12.399999999999972</c:v>
                </c:pt>
                <c:pt idx="80">
                  <c:v>12.499999999999972</c:v>
                </c:pt>
                <c:pt idx="81">
                  <c:v>12.599999999999971</c:v>
                </c:pt>
                <c:pt idx="82">
                  <c:v>12.699999999999971</c:v>
                </c:pt>
                <c:pt idx="83">
                  <c:v>12.799999999999971</c:v>
                </c:pt>
                <c:pt idx="84">
                  <c:v>12.89999999999997</c:v>
                </c:pt>
                <c:pt idx="85">
                  <c:v>12.99999999999997</c:v>
                </c:pt>
                <c:pt idx="86">
                  <c:v>13.099999999999969</c:v>
                </c:pt>
                <c:pt idx="87">
                  <c:v>13.199999999999969</c:v>
                </c:pt>
                <c:pt idx="88">
                  <c:v>13.299999999999969</c:v>
                </c:pt>
                <c:pt idx="89">
                  <c:v>13.399999999999968</c:v>
                </c:pt>
                <c:pt idx="90">
                  <c:v>13.499999999999968</c:v>
                </c:pt>
                <c:pt idx="91">
                  <c:v>13.599999999999968</c:v>
                </c:pt>
                <c:pt idx="92">
                  <c:v>13.699999999999967</c:v>
                </c:pt>
                <c:pt idx="93">
                  <c:v>13.799999999999967</c:v>
                </c:pt>
                <c:pt idx="94">
                  <c:v>13.899999999999967</c:v>
                </c:pt>
                <c:pt idx="95">
                  <c:v>13.999999999999966</c:v>
                </c:pt>
                <c:pt idx="96">
                  <c:v>14.099999999999966</c:v>
                </c:pt>
                <c:pt idx="97">
                  <c:v>14.199999999999966</c:v>
                </c:pt>
                <c:pt idx="98">
                  <c:v>14.299999999999965</c:v>
                </c:pt>
                <c:pt idx="99">
                  <c:v>14.399999999999965</c:v>
                </c:pt>
                <c:pt idx="100">
                  <c:v>14.499999999999964</c:v>
                </c:pt>
                <c:pt idx="101">
                  <c:v>14.599999999999964</c:v>
                </c:pt>
                <c:pt idx="102">
                  <c:v>14.699999999999964</c:v>
                </c:pt>
                <c:pt idx="103">
                  <c:v>14.799999999999963</c:v>
                </c:pt>
                <c:pt idx="104">
                  <c:v>14.899999999999963</c:v>
                </c:pt>
                <c:pt idx="105">
                  <c:v>14.999999999999963</c:v>
                </c:pt>
                <c:pt idx="106">
                  <c:v>15.099999999999962</c:v>
                </c:pt>
                <c:pt idx="107">
                  <c:v>15.199999999999962</c:v>
                </c:pt>
                <c:pt idx="108">
                  <c:v>15.299999999999962</c:v>
                </c:pt>
                <c:pt idx="109">
                  <c:v>15.399999999999961</c:v>
                </c:pt>
                <c:pt idx="110">
                  <c:v>15.499999999999961</c:v>
                </c:pt>
                <c:pt idx="111">
                  <c:v>15.599999999999961</c:v>
                </c:pt>
                <c:pt idx="112">
                  <c:v>15.69999999999996</c:v>
                </c:pt>
                <c:pt idx="113">
                  <c:v>15.79999999999996</c:v>
                </c:pt>
                <c:pt idx="114">
                  <c:v>15.899999999999959</c:v>
                </c:pt>
                <c:pt idx="115">
                  <c:v>15.999999999999959</c:v>
                </c:pt>
                <c:pt idx="116">
                  <c:v>16.099999999999959</c:v>
                </c:pt>
                <c:pt idx="117">
                  <c:v>16.19999999999996</c:v>
                </c:pt>
                <c:pt idx="118">
                  <c:v>16.299999999999962</c:v>
                </c:pt>
                <c:pt idx="119">
                  <c:v>16.399999999999963</c:v>
                </c:pt>
                <c:pt idx="120">
                  <c:v>16.499999999999964</c:v>
                </c:pt>
                <c:pt idx="121">
                  <c:v>16.599999999999966</c:v>
                </c:pt>
                <c:pt idx="122">
                  <c:v>16.699999999999967</c:v>
                </c:pt>
                <c:pt idx="123">
                  <c:v>16.799999999999969</c:v>
                </c:pt>
                <c:pt idx="124">
                  <c:v>16.89999999999997</c:v>
                </c:pt>
                <c:pt idx="125">
                  <c:v>16.999999999999972</c:v>
                </c:pt>
                <c:pt idx="126">
                  <c:v>17.099999999999973</c:v>
                </c:pt>
                <c:pt idx="127">
                  <c:v>17.199999999999974</c:v>
                </c:pt>
                <c:pt idx="128">
                  <c:v>17.299999999999976</c:v>
                </c:pt>
                <c:pt idx="129">
                  <c:v>17.399999999999977</c:v>
                </c:pt>
                <c:pt idx="130">
                  <c:v>17.499999999999979</c:v>
                </c:pt>
                <c:pt idx="131">
                  <c:v>17.59999999999998</c:v>
                </c:pt>
                <c:pt idx="132">
                  <c:v>17.699999999999982</c:v>
                </c:pt>
                <c:pt idx="133">
                  <c:v>17.799999999999983</c:v>
                </c:pt>
                <c:pt idx="134">
                  <c:v>17.899999999999984</c:v>
                </c:pt>
                <c:pt idx="135">
                  <c:v>17.999999999999986</c:v>
                </c:pt>
                <c:pt idx="136">
                  <c:v>18.099999999999987</c:v>
                </c:pt>
                <c:pt idx="137">
                  <c:v>18.199999999999989</c:v>
                </c:pt>
                <c:pt idx="138">
                  <c:v>18.29999999999999</c:v>
                </c:pt>
                <c:pt idx="139">
                  <c:v>18.399999999999991</c:v>
                </c:pt>
                <c:pt idx="140">
                  <c:v>18.499999999999993</c:v>
                </c:pt>
                <c:pt idx="141">
                  <c:v>18.599999999999994</c:v>
                </c:pt>
                <c:pt idx="142">
                  <c:v>18.699999999999996</c:v>
                </c:pt>
                <c:pt idx="143">
                  <c:v>18.799999999999997</c:v>
                </c:pt>
                <c:pt idx="144">
                  <c:v>18.899999999999999</c:v>
                </c:pt>
                <c:pt idx="145">
                  <c:v>19</c:v>
                </c:pt>
                <c:pt idx="146">
                  <c:v>19.100000000000001</c:v>
                </c:pt>
                <c:pt idx="147">
                  <c:v>19.200000000000003</c:v>
                </c:pt>
                <c:pt idx="148">
                  <c:v>19.300000000000004</c:v>
                </c:pt>
                <c:pt idx="149">
                  <c:v>19.400000000000006</c:v>
                </c:pt>
                <c:pt idx="150">
                  <c:v>19.500000000000007</c:v>
                </c:pt>
                <c:pt idx="151">
                  <c:v>19.600000000000009</c:v>
                </c:pt>
                <c:pt idx="152">
                  <c:v>19.70000000000001</c:v>
                </c:pt>
                <c:pt idx="153">
                  <c:v>19.800000000000011</c:v>
                </c:pt>
                <c:pt idx="154">
                  <c:v>19.900000000000013</c:v>
                </c:pt>
                <c:pt idx="155">
                  <c:v>20.000000000000014</c:v>
                </c:pt>
                <c:pt idx="156">
                  <c:v>20.100000000000016</c:v>
                </c:pt>
                <c:pt idx="157">
                  <c:v>20.200000000000017</c:v>
                </c:pt>
                <c:pt idx="158">
                  <c:v>20.300000000000018</c:v>
                </c:pt>
                <c:pt idx="159">
                  <c:v>20.40000000000002</c:v>
                </c:pt>
                <c:pt idx="160">
                  <c:v>20.500000000000021</c:v>
                </c:pt>
                <c:pt idx="161">
                  <c:v>20.600000000000023</c:v>
                </c:pt>
                <c:pt idx="162">
                  <c:v>20.700000000000024</c:v>
                </c:pt>
                <c:pt idx="163">
                  <c:v>20.800000000000026</c:v>
                </c:pt>
                <c:pt idx="164">
                  <c:v>20.900000000000027</c:v>
                </c:pt>
                <c:pt idx="165">
                  <c:v>21.000000000000028</c:v>
                </c:pt>
                <c:pt idx="166">
                  <c:v>21.10000000000003</c:v>
                </c:pt>
                <c:pt idx="167">
                  <c:v>21.200000000000031</c:v>
                </c:pt>
                <c:pt idx="168">
                  <c:v>21.300000000000033</c:v>
                </c:pt>
                <c:pt idx="169">
                  <c:v>21.400000000000034</c:v>
                </c:pt>
                <c:pt idx="170">
                  <c:v>21.500000000000036</c:v>
                </c:pt>
                <c:pt idx="171">
                  <c:v>21.600000000000037</c:v>
                </c:pt>
                <c:pt idx="172">
                  <c:v>21.700000000000038</c:v>
                </c:pt>
                <c:pt idx="173">
                  <c:v>21.80000000000004</c:v>
                </c:pt>
                <c:pt idx="174">
                  <c:v>21.900000000000041</c:v>
                </c:pt>
                <c:pt idx="175">
                  <c:v>22.000000000000043</c:v>
                </c:pt>
                <c:pt idx="176">
                  <c:v>22.100000000000044</c:v>
                </c:pt>
                <c:pt idx="177">
                  <c:v>22.200000000000045</c:v>
                </c:pt>
                <c:pt idx="178">
                  <c:v>22.300000000000047</c:v>
                </c:pt>
                <c:pt idx="179">
                  <c:v>22.400000000000048</c:v>
                </c:pt>
                <c:pt idx="180">
                  <c:v>22.50000000000005</c:v>
                </c:pt>
                <c:pt idx="181">
                  <c:v>22.600000000000051</c:v>
                </c:pt>
                <c:pt idx="182">
                  <c:v>22.700000000000053</c:v>
                </c:pt>
                <c:pt idx="183">
                  <c:v>22.800000000000054</c:v>
                </c:pt>
                <c:pt idx="184">
                  <c:v>22.900000000000055</c:v>
                </c:pt>
                <c:pt idx="185">
                  <c:v>23.000000000000057</c:v>
                </c:pt>
                <c:pt idx="186">
                  <c:v>23.100000000000058</c:v>
                </c:pt>
                <c:pt idx="187">
                  <c:v>23.20000000000006</c:v>
                </c:pt>
                <c:pt idx="188">
                  <c:v>23.300000000000061</c:v>
                </c:pt>
                <c:pt idx="189">
                  <c:v>23.400000000000063</c:v>
                </c:pt>
                <c:pt idx="190">
                  <c:v>23.500000000000064</c:v>
                </c:pt>
                <c:pt idx="191">
                  <c:v>23.600000000000065</c:v>
                </c:pt>
                <c:pt idx="192">
                  <c:v>23.700000000000067</c:v>
                </c:pt>
                <c:pt idx="193">
                  <c:v>23.800000000000068</c:v>
                </c:pt>
                <c:pt idx="194">
                  <c:v>23.90000000000007</c:v>
                </c:pt>
                <c:pt idx="195">
                  <c:v>24.000000000000071</c:v>
                </c:pt>
                <c:pt idx="196">
                  <c:v>24.100000000000072</c:v>
                </c:pt>
                <c:pt idx="197">
                  <c:v>24.200000000000074</c:v>
                </c:pt>
                <c:pt idx="198">
                  <c:v>24.300000000000075</c:v>
                </c:pt>
                <c:pt idx="199">
                  <c:v>24.400000000000077</c:v>
                </c:pt>
                <c:pt idx="200">
                  <c:v>24.500000000000078</c:v>
                </c:pt>
                <c:pt idx="201">
                  <c:v>24.60000000000008</c:v>
                </c:pt>
                <c:pt idx="202">
                  <c:v>24.700000000000081</c:v>
                </c:pt>
                <c:pt idx="203">
                  <c:v>24.800000000000082</c:v>
                </c:pt>
                <c:pt idx="204">
                  <c:v>24.900000000000084</c:v>
                </c:pt>
                <c:pt idx="205">
                  <c:v>25.000000000000085</c:v>
                </c:pt>
                <c:pt idx="206">
                  <c:v>25.100000000000087</c:v>
                </c:pt>
                <c:pt idx="207">
                  <c:v>25.200000000000088</c:v>
                </c:pt>
                <c:pt idx="208">
                  <c:v>25.30000000000009</c:v>
                </c:pt>
                <c:pt idx="209">
                  <c:v>25.400000000000091</c:v>
                </c:pt>
                <c:pt idx="210">
                  <c:v>25.500000000000092</c:v>
                </c:pt>
                <c:pt idx="211">
                  <c:v>25.600000000000094</c:v>
                </c:pt>
                <c:pt idx="212">
                  <c:v>25.700000000000095</c:v>
                </c:pt>
                <c:pt idx="213">
                  <c:v>25.800000000000097</c:v>
                </c:pt>
                <c:pt idx="214">
                  <c:v>25.900000000000098</c:v>
                </c:pt>
                <c:pt idx="215">
                  <c:v>26.000000000000099</c:v>
                </c:pt>
                <c:pt idx="216">
                  <c:v>26.100000000000101</c:v>
                </c:pt>
                <c:pt idx="217">
                  <c:v>26.200000000000102</c:v>
                </c:pt>
                <c:pt idx="218">
                  <c:v>26.300000000000104</c:v>
                </c:pt>
                <c:pt idx="219">
                  <c:v>26.400000000000105</c:v>
                </c:pt>
                <c:pt idx="220">
                  <c:v>26.500000000000107</c:v>
                </c:pt>
                <c:pt idx="221">
                  <c:v>26.600000000000108</c:v>
                </c:pt>
                <c:pt idx="222">
                  <c:v>26.700000000000109</c:v>
                </c:pt>
                <c:pt idx="223">
                  <c:v>26.800000000000111</c:v>
                </c:pt>
                <c:pt idx="224">
                  <c:v>26.900000000000112</c:v>
                </c:pt>
                <c:pt idx="225">
                  <c:v>27.000000000000114</c:v>
                </c:pt>
                <c:pt idx="226">
                  <c:v>27.100000000000115</c:v>
                </c:pt>
                <c:pt idx="227">
                  <c:v>27.200000000000117</c:v>
                </c:pt>
                <c:pt idx="228">
                  <c:v>27.300000000000118</c:v>
                </c:pt>
                <c:pt idx="229">
                  <c:v>27.400000000000119</c:v>
                </c:pt>
                <c:pt idx="230">
                  <c:v>27.500000000000121</c:v>
                </c:pt>
              </c:numCache>
            </c:numRef>
          </c:xVal>
          <c:yVal>
            <c:numRef>
              <c:f>'Design.Wake rotation 15 MW, 5.5'!$V$91:$V$1000</c:f>
              <c:numCache>
                <c:formatCode>General</c:formatCode>
                <c:ptCount val="910"/>
                <c:pt idx="0">
                  <c:v>0</c:v>
                </c:pt>
                <c:pt idx="1">
                  <c:v>0</c:v>
                </c:pt>
                <c:pt idx="2">
                  <c:v>2.137787850816748E-2</c:v>
                </c:pt>
                <c:pt idx="3">
                  <c:v>0.16986689784627232</c:v>
                </c:pt>
                <c:pt idx="4">
                  <c:v>0.30564056355152902</c:v>
                </c:pt>
                <c:pt idx="5">
                  <c:v>0.43250370377011954</c:v>
                </c:pt>
                <c:pt idx="6">
                  <c:v>0.55367786170227395</c:v>
                </c:pt>
                <c:pt idx="7">
                  <c:v>0.67188454602529013</c:v>
                </c:pt>
                <c:pt idx="8">
                  <c:v>0.78941603944345629</c:v>
                </c:pt>
                <c:pt idx="9">
                  <c:v>0.9081957620902803</c:v>
                </c:pt>
                <c:pt idx="10">
                  <c:v>1.0298298412489835</c:v>
                </c:pt>
                <c:pt idx="11">
                  <c:v>1.1556512577450964</c:v>
                </c:pt>
                <c:pt idx="12">
                  <c:v>1.2867577096462588</c:v>
                </c:pt>
                <c:pt idx="13">
                  <c:v>1.4240441455342669</c:v>
                </c:pt>
                <c:pt idx="14">
                  <c:v>1.5682307646331088</c:v>
                </c:pt>
                <c:pt idx="15">
                  <c:v>1.7198871531575346</c:v>
                </c:pt>
                <c:pt idx="16">
                  <c:v>1.8794531203361642</c:v>
                </c:pt>
                <c:pt idx="17">
                  <c:v>2.0472567096192202</c:v>
                </c:pt>
                <c:pt idx="18">
                  <c:v>2.2235297873362705</c:v>
                </c:pt>
                <c:pt idx="19">
                  <c:v>2.4084215499135571</c:v>
                </c:pt>
                <c:pt idx="20">
                  <c:v>2.6020102395468956</c:v>
                </c:pt>
                <c:pt idx="21">
                  <c:v>2.8043133152416622</c:v>
                </c:pt>
                <c:pt idx="22">
                  <c:v>3.015296289955955</c:v>
                </c:pt>
                <c:pt idx="23">
                  <c:v>3.2348804140695226</c:v>
                </c:pt>
                <c:pt idx="24">
                  <c:v>3.4629493596022436</c:v>
                </c:pt>
                <c:pt idx="25">
                  <c:v>3.6993550377468263</c:v>
                </c:pt>
                <c:pt idx="26">
                  <c:v>3.9439226637172644</c:v>
                </c:pt>
                <c:pt idx="27">
                  <c:v>4.1964551671189341</c:v>
                </c:pt>
                <c:pt idx="28">
                  <c:v>4.4567370325791069</c:v>
                </c:pt>
                <c:pt idx="29">
                  <c:v>4.7245376438711384</c:v>
                </c:pt>
                <c:pt idx="30">
                  <c:v>4.9996141949192818</c:v>
                </c:pt>
                <c:pt idx="31">
                  <c:v>5.281714222627472</c:v>
                </c:pt>
                <c:pt idx="32">
                  <c:v>5.5705778092233844</c:v>
                </c:pt>
                <c:pt idx="33">
                  <c:v>5.8659394955713315</c:v>
                </c:pt>
                <c:pt idx="34">
                  <c:v>6.1675299415283762</c:v>
                </c:pt>
                <c:pt idx="35">
                  <c:v>6.4750773647791293</c:v>
                </c:pt>
                <c:pt idx="36">
                  <c:v>6.7883087855709148</c:v>
                </c:pt>
                <c:pt idx="37">
                  <c:v>7.10695110129992</c:v>
                </c:pt>
                <c:pt idx="38">
                  <c:v>7.4307320118857652</c:v>
                </c:pt>
                <c:pt idx="39">
                  <c:v>7.7593808142584084</c:v>
                </c:pt>
                <c:pt idx="40">
                  <c:v>8.0926290820108839</c:v>
                </c:pt>
                <c:pt idx="41">
                  <c:v>8.430211244288822</c:v>
                </c:pt>
                <c:pt idx="42">
                  <c:v>8.7718650762696786</c:v>
                </c:pt>
                <c:pt idx="43">
                  <c:v>9.1173321120751325</c:v>
                </c:pt>
                <c:pt idx="44">
                  <c:v>9.4663579896507635</c:v>
                </c:pt>
                <c:pt idx="45">
                  <c:v>9.818692735994464</c:v>
                </c:pt>
                <c:pt idx="46">
                  <c:v>10.174091000112528</c:v>
                </c:pt>
                <c:pt idx="47">
                  <c:v>10.532312240197935</c:v>
                </c:pt>
                <c:pt idx="48">
                  <c:v>10.893120870755238</c:v>
                </c:pt>
                <c:pt idx="49">
                  <c:v>11.256286374714705</c:v>
                </c:pt>
                <c:pt idx="50">
                  <c:v>11.621583384984264</c:v>
                </c:pt>
                <c:pt idx="51">
                  <c:v>11.988791739361639</c:v>
                </c:pt>
                <c:pt idx="52">
                  <c:v>12.357696512267944</c:v>
                </c:pt>
                <c:pt idx="53">
                  <c:v>12.728088026356934</c:v>
                </c:pt>
                <c:pt idx="54">
                  <c:v>13.099761846694852</c:v>
                </c:pt>
                <c:pt idx="55">
                  <c:v>13.472518759891184</c:v>
                </c:pt>
                <c:pt idx="56">
                  <c:v>13.846164740278976</c:v>
                </c:pt>
                <c:pt idx="57">
                  <c:v>14.220510904997933</c:v>
                </c:pt>
                <c:pt idx="58">
                  <c:v>14.59537345961566</c:v>
                </c:pt>
                <c:pt idx="59">
                  <c:v>14.970573635728631</c:v>
                </c:pt>
                <c:pt idx="60">
                  <c:v>14.999999999999998</c:v>
                </c:pt>
                <c:pt idx="61">
                  <c:v>14.999999999999996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14.999999999999998</c:v>
                </c:pt>
                <c:pt idx="66">
                  <c:v>14.999999999999998</c:v>
                </c:pt>
                <c:pt idx="67">
                  <c:v>14.999999999999998</c:v>
                </c:pt>
                <c:pt idx="68">
                  <c:v>14.999999999999998</c:v>
                </c:pt>
                <c:pt idx="69">
                  <c:v>15</c:v>
                </c:pt>
                <c:pt idx="70">
                  <c:v>14.999999999999996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14.999999999999995</c:v>
                </c:pt>
                <c:pt idx="76">
                  <c:v>15</c:v>
                </c:pt>
                <c:pt idx="77">
                  <c:v>14.999999999999998</c:v>
                </c:pt>
                <c:pt idx="78">
                  <c:v>14.999999999999998</c:v>
                </c:pt>
                <c:pt idx="79">
                  <c:v>14.999999999999998</c:v>
                </c:pt>
                <c:pt idx="80">
                  <c:v>14.999999999999996</c:v>
                </c:pt>
                <c:pt idx="81">
                  <c:v>14.999999999999998</c:v>
                </c:pt>
                <c:pt idx="82">
                  <c:v>15</c:v>
                </c:pt>
                <c:pt idx="83">
                  <c:v>15</c:v>
                </c:pt>
                <c:pt idx="84">
                  <c:v>14.999999999999998</c:v>
                </c:pt>
                <c:pt idx="85">
                  <c:v>14.999999999999998</c:v>
                </c:pt>
                <c:pt idx="86">
                  <c:v>14.999999999999996</c:v>
                </c:pt>
                <c:pt idx="87">
                  <c:v>15</c:v>
                </c:pt>
                <c:pt idx="88">
                  <c:v>14.999999999999998</c:v>
                </c:pt>
                <c:pt idx="89">
                  <c:v>15</c:v>
                </c:pt>
                <c:pt idx="90">
                  <c:v>14.999999999999998</c:v>
                </c:pt>
                <c:pt idx="91">
                  <c:v>15</c:v>
                </c:pt>
                <c:pt idx="92">
                  <c:v>14.999999999999996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14.999999999999998</c:v>
                </c:pt>
                <c:pt idx="97">
                  <c:v>14.999999999999995</c:v>
                </c:pt>
                <c:pt idx="98">
                  <c:v>14.999999999999998</c:v>
                </c:pt>
                <c:pt idx="99">
                  <c:v>14.999999999999996</c:v>
                </c:pt>
                <c:pt idx="100">
                  <c:v>14.999999999999996</c:v>
                </c:pt>
                <c:pt idx="101">
                  <c:v>15</c:v>
                </c:pt>
                <c:pt idx="102">
                  <c:v>14.999999999999998</c:v>
                </c:pt>
                <c:pt idx="103">
                  <c:v>14.999999999999996</c:v>
                </c:pt>
                <c:pt idx="104">
                  <c:v>14.999999999999998</c:v>
                </c:pt>
                <c:pt idx="105">
                  <c:v>15</c:v>
                </c:pt>
                <c:pt idx="106">
                  <c:v>14.999999999999998</c:v>
                </c:pt>
                <c:pt idx="107">
                  <c:v>14.999999999999998</c:v>
                </c:pt>
                <c:pt idx="108">
                  <c:v>15</c:v>
                </c:pt>
                <c:pt idx="109">
                  <c:v>14.999999999999998</c:v>
                </c:pt>
                <c:pt idx="110">
                  <c:v>14.999999999999998</c:v>
                </c:pt>
                <c:pt idx="111">
                  <c:v>14.999999999999998</c:v>
                </c:pt>
                <c:pt idx="112">
                  <c:v>14.999999999999998</c:v>
                </c:pt>
                <c:pt idx="113">
                  <c:v>14.999999999999998</c:v>
                </c:pt>
                <c:pt idx="114">
                  <c:v>14.999999999999996</c:v>
                </c:pt>
                <c:pt idx="115">
                  <c:v>14.999999999999998</c:v>
                </c:pt>
                <c:pt idx="116">
                  <c:v>14.999999999999998</c:v>
                </c:pt>
                <c:pt idx="117">
                  <c:v>14.999999999999998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14.999999999999998</c:v>
                </c:pt>
                <c:pt idx="122">
                  <c:v>14.999999999999998</c:v>
                </c:pt>
                <c:pt idx="123">
                  <c:v>14.999999999999998</c:v>
                </c:pt>
                <c:pt idx="124">
                  <c:v>14.999999999999998</c:v>
                </c:pt>
                <c:pt idx="125">
                  <c:v>14.999999999999998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14.999999999999996</c:v>
                </c:pt>
                <c:pt idx="130">
                  <c:v>15</c:v>
                </c:pt>
                <c:pt idx="131">
                  <c:v>15</c:v>
                </c:pt>
                <c:pt idx="132">
                  <c:v>14.999999999999998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14.999999999999998</c:v>
                </c:pt>
                <c:pt idx="137">
                  <c:v>14.999999999999998</c:v>
                </c:pt>
                <c:pt idx="138">
                  <c:v>14.999999999999996</c:v>
                </c:pt>
                <c:pt idx="139">
                  <c:v>14.999999999999998</c:v>
                </c:pt>
                <c:pt idx="140">
                  <c:v>14.999999999999998</c:v>
                </c:pt>
                <c:pt idx="141">
                  <c:v>15</c:v>
                </c:pt>
                <c:pt idx="142">
                  <c:v>15</c:v>
                </c:pt>
                <c:pt idx="143">
                  <c:v>14.999999999999996</c:v>
                </c:pt>
                <c:pt idx="144">
                  <c:v>14.999999999999998</c:v>
                </c:pt>
                <c:pt idx="145">
                  <c:v>14.999999999999998</c:v>
                </c:pt>
                <c:pt idx="146">
                  <c:v>14.999999999999996</c:v>
                </c:pt>
                <c:pt idx="147">
                  <c:v>14.999999999999996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  <c:pt idx="151">
                  <c:v>15</c:v>
                </c:pt>
                <c:pt idx="152">
                  <c:v>15</c:v>
                </c:pt>
                <c:pt idx="153">
                  <c:v>15</c:v>
                </c:pt>
                <c:pt idx="154">
                  <c:v>14.999999999999998</c:v>
                </c:pt>
                <c:pt idx="155">
                  <c:v>15</c:v>
                </c:pt>
                <c:pt idx="156">
                  <c:v>14.999999999999998</c:v>
                </c:pt>
                <c:pt idx="157">
                  <c:v>14.999999999999998</c:v>
                </c:pt>
                <c:pt idx="158">
                  <c:v>14.999999999999998</c:v>
                </c:pt>
                <c:pt idx="159">
                  <c:v>15</c:v>
                </c:pt>
                <c:pt idx="160">
                  <c:v>14.999999999999998</c:v>
                </c:pt>
                <c:pt idx="161">
                  <c:v>14.999999999999996</c:v>
                </c:pt>
                <c:pt idx="162">
                  <c:v>14.999999999999998</c:v>
                </c:pt>
                <c:pt idx="163">
                  <c:v>14.999999999999998</c:v>
                </c:pt>
                <c:pt idx="164">
                  <c:v>15</c:v>
                </c:pt>
                <c:pt idx="165">
                  <c:v>15</c:v>
                </c:pt>
                <c:pt idx="166">
                  <c:v>14.999999999999998</c:v>
                </c:pt>
                <c:pt idx="167">
                  <c:v>14.999999999999998</c:v>
                </c:pt>
                <c:pt idx="168">
                  <c:v>14.999999999999998</c:v>
                </c:pt>
                <c:pt idx="169">
                  <c:v>14.999999999999998</c:v>
                </c:pt>
                <c:pt idx="170">
                  <c:v>14.999999999999996</c:v>
                </c:pt>
                <c:pt idx="171">
                  <c:v>14.999999999999998</c:v>
                </c:pt>
                <c:pt idx="172">
                  <c:v>15</c:v>
                </c:pt>
                <c:pt idx="173">
                  <c:v>14.999999999999998</c:v>
                </c:pt>
                <c:pt idx="174">
                  <c:v>14.999999999999996</c:v>
                </c:pt>
                <c:pt idx="175">
                  <c:v>14.999999999999996</c:v>
                </c:pt>
                <c:pt idx="176">
                  <c:v>15</c:v>
                </c:pt>
                <c:pt idx="177">
                  <c:v>14.999999999999998</c:v>
                </c:pt>
                <c:pt idx="178">
                  <c:v>15</c:v>
                </c:pt>
                <c:pt idx="179">
                  <c:v>14.999999999999998</c:v>
                </c:pt>
                <c:pt idx="180">
                  <c:v>15</c:v>
                </c:pt>
                <c:pt idx="181">
                  <c:v>14.999999999999998</c:v>
                </c:pt>
                <c:pt idx="182">
                  <c:v>15</c:v>
                </c:pt>
                <c:pt idx="183">
                  <c:v>14.999999999999995</c:v>
                </c:pt>
                <c:pt idx="184">
                  <c:v>14.999999999999998</c:v>
                </c:pt>
                <c:pt idx="185">
                  <c:v>15</c:v>
                </c:pt>
                <c:pt idx="186">
                  <c:v>15</c:v>
                </c:pt>
                <c:pt idx="187">
                  <c:v>14.999999999999998</c:v>
                </c:pt>
                <c:pt idx="188">
                  <c:v>14.999999999999998</c:v>
                </c:pt>
                <c:pt idx="189">
                  <c:v>14.999999999999998</c:v>
                </c:pt>
                <c:pt idx="190">
                  <c:v>14.999999999999996</c:v>
                </c:pt>
                <c:pt idx="191">
                  <c:v>15</c:v>
                </c:pt>
                <c:pt idx="192">
                  <c:v>15</c:v>
                </c:pt>
                <c:pt idx="193">
                  <c:v>14.999999999999998</c:v>
                </c:pt>
                <c:pt idx="194">
                  <c:v>14.999999999999996</c:v>
                </c:pt>
                <c:pt idx="195">
                  <c:v>14.999999999999998</c:v>
                </c:pt>
                <c:pt idx="196">
                  <c:v>14.999999999999998</c:v>
                </c:pt>
                <c:pt idx="197">
                  <c:v>14.999999999999996</c:v>
                </c:pt>
                <c:pt idx="198">
                  <c:v>14.999999999999998</c:v>
                </c:pt>
                <c:pt idx="199">
                  <c:v>14.999999999999998</c:v>
                </c:pt>
                <c:pt idx="200">
                  <c:v>15</c:v>
                </c:pt>
                <c:pt idx="201">
                  <c:v>15</c:v>
                </c:pt>
                <c:pt idx="202">
                  <c:v>15</c:v>
                </c:pt>
                <c:pt idx="203">
                  <c:v>14.999999999999998</c:v>
                </c:pt>
                <c:pt idx="204">
                  <c:v>15</c:v>
                </c:pt>
                <c:pt idx="205">
                  <c:v>14.999999999999998</c:v>
                </c:pt>
                <c:pt idx="206">
                  <c:v>15</c:v>
                </c:pt>
                <c:pt idx="207">
                  <c:v>15</c:v>
                </c:pt>
                <c:pt idx="208">
                  <c:v>15</c:v>
                </c:pt>
                <c:pt idx="209">
                  <c:v>15</c:v>
                </c:pt>
                <c:pt idx="210">
                  <c:v>14.999999999999998</c:v>
                </c:pt>
                <c:pt idx="211">
                  <c:v>14.999999999999998</c:v>
                </c:pt>
                <c:pt idx="212">
                  <c:v>15</c:v>
                </c:pt>
                <c:pt idx="213">
                  <c:v>14.999999999999998</c:v>
                </c:pt>
                <c:pt idx="214">
                  <c:v>14.999999999999998</c:v>
                </c:pt>
                <c:pt idx="215">
                  <c:v>14.999999999999998</c:v>
                </c:pt>
                <c:pt idx="216">
                  <c:v>15</c:v>
                </c:pt>
                <c:pt idx="217">
                  <c:v>14.999999999999998</c:v>
                </c:pt>
                <c:pt idx="218">
                  <c:v>14.999999999999998</c:v>
                </c:pt>
                <c:pt idx="219">
                  <c:v>15</c:v>
                </c:pt>
                <c:pt idx="220">
                  <c:v>14.999999999999998</c:v>
                </c:pt>
                <c:pt idx="221">
                  <c:v>14.999999999999998</c:v>
                </c:pt>
                <c:pt idx="222">
                  <c:v>15</c:v>
                </c:pt>
                <c:pt idx="223">
                  <c:v>15</c:v>
                </c:pt>
                <c:pt idx="224">
                  <c:v>14.999999999999998</c:v>
                </c:pt>
                <c:pt idx="225">
                  <c:v>14.999999999999998</c:v>
                </c:pt>
                <c:pt idx="226">
                  <c:v>15</c:v>
                </c:pt>
                <c:pt idx="227">
                  <c:v>15</c:v>
                </c:pt>
                <c:pt idx="228">
                  <c:v>14.999999999999998</c:v>
                </c:pt>
                <c:pt idx="229">
                  <c:v>15</c:v>
                </c:pt>
                <c:pt idx="230">
                  <c:v>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BC8-46A9-9332-2F4EE263F5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7820447"/>
        <c:axId val="827822943"/>
      </c:scatterChart>
      <c:scatterChart>
        <c:scatterStyle val="smoothMarker"/>
        <c:varyColors val="0"/>
        <c:ser>
          <c:idx val="1"/>
          <c:order val="1"/>
          <c:tx>
            <c:strRef>
              <c:f>'Design.Wake rotation 15 MW, 5.5'!$U$90</c:f>
              <c:strCache>
                <c:ptCount val="1"/>
                <c:pt idx="0">
                  <c:v>Cp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'Design.Wake rotation 15 MW, 5.5'!$S$91:$S$1000</c:f>
              <c:numCache>
                <c:formatCode>General</c:formatCode>
                <c:ptCount val="910"/>
                <c:pt idx="0">
                  <c:v>4.5</c:v>
                </c:pt>
                <c:pt idx="1">
                  <c:v>4.5999999999999996</c:v>
                </c:pt>
                <c:pt idx="2">
                  <c:v>4.6999999999999993</c:v>
                </c:pt>
                <c:pt idx="3">
                  <c:v>4.7999999999999989</c:v>
                </c:pt>
                <c:pt idx="4">
                  <c:v>4.8999999999999986</c:v>
                </c:pt>
                <c:pt idx="5">
                  <c:v>4.9999999999999982</c:v>
                </c:pt>
                <c:pt idx="6">
                  <c:v>5.0999999999999979</c:v>
                </c:pt>
                <c:pt idx="7">
                  <c:v>5.1999999999999975</c:v>
                </c:pt>
                <c:pt idx="8">
                  <c:v>5.2999999999999972</c:v>
                </c:pt>
                <c:pt idx="9">
                  <c:v>5.3999999999999968</c:v>
                </c:pt>
                <c:pt idx="10">
                  <c:v>5.4999999999999964</c:v>
                </c:pt>
                <c:pt idx="11">
                  <c:v>5.5999999999999961</c:v>
                </c:pt>
                <c:pt idx="12">
                  <c:v>5.6999999999999957</c:v>
                </c:pt>
                <c:pt idx="13">
                  <c:v>5.7999999999999954</c:v>
                </c:pt>
                <c:pt idx="14">
                  <c:v>5.899999999999995</c:v>
                </c:pt>
                <c:pt idx="15">
                  <c:v>5.9999999999999947</c:v>
                </c:pt>
                <c:pt idx="16">
                  <c:v>6.0999999999999943</c:v>
                </c:pt>
                <c:pt idx="17">
                  <c:v>6.199999999999994</c:v>
                </c:pt>
                <c:pt idx="18">
                  <c:v>6.2999999999999936</c:v>
                </c:pt>
                <c:pt idx="19">
                  <c:v>6.3999999999999932</c:v>
                </c:pt>
                <c:pt idx="20">
                  <c:v>6.4999999999999929</c:v>
                </c:pt>
                <c:pt idx="21">
                  <c:v>6.5999999999999925</c:v>
                </c:pt>
                <c:pt idx="22">
                  <c:v>6.6999999999999922</c:v>
                </c:pt>
                <c:pt idx="23">
                  <c:v>6.7999999999999918</c:v>
                </c:pt>
                <c:pt idx="24">
                  <c:v>6.8999999999999915</c:v>
                </c:pt>
                <c:pt idx="25">
                  <c:v>6.9999999999999911</c:v>
                </c:pt>
                <c:pt idx="26">
                  <c:v>7.0999999999999908</c:v>
                </c:pt>
                <c:pt idx="27">
                  <c:v>7.1999999999999904</c:v>
                </c:pt>
                <c:pt idx="28">
                  <c:v>7.2999999999999901</c:v>
                </c:pt>
                <c:pt idx="29">
                  <c:v>7.3999999999999897</c:v>
                </c:pt>
                <c:pt idx="30">
                  <c:v>7.4999999999999893</c:v>
                </c:pt>
                <c:pt idx="31">
                  <c:v>7.599999999999989</c:v>
                </c:pt>
                <c:pt idx="32">
                  <c:v>7.6999999999999886</c:v>
                </c:pt>
                <c:pt idx="33">
                  <c:v>7.7999999999999883</c:v>
                </c:pt>
                <c:pt idx="34">
                  <c:v>7.8999999999999879</c:v>
                </c:pt>
                <c:pt idx="35">
                  <c:v>7.9999999999999876</c:v>
                </c:pt>
                <c:pt idx="36">
                  <c:v>8.0999999999999872</c:v>
                </c:pt>
                <c:pt idx="37">
                  <c:v>8.1999999999999869</c:v>
                </c:pt>
                <c:pt idx="38">
                  <c:v>8.2999999999999865</c:v>
                </c:pt>
                <c:pt idx="39">
                  <c:v>8.3999999999999861</c:v>
                </c:pt>
                <c:pt idx="40">
                  <c:v>8.4999999999999858</c:v>
                </c:pt>
                <c:pt idx="41">
                  <c:v>8.5999999999999854</c:v>
                </c:pt>
                <c:pt idx="42">
                  <c:v>8.6999999999999851</c:v>
                </c:pt>
                <c:pt idx="43">
                  <c:v>8.7999999999999847</c:v>
                </c:pt>
                <c:pt idx="44">
                  <c:v>8.8999999999999844</c:v>
                </c:pt>
                <c:pt idx="45">
                  <c:v>8.999999999999984</c:v>
                </c:pt>
                <c:pt idx="46">
                  <c:v>9.0999999999999837</c:v>
                </c:pt>
                <c:pt idx="47">
                  <c:v>9.1999999999999833</c:v>
                </c:pt>
                <c:pt idx="48">
                  <c:v>9.2999999999999829</c:v>
                </c:pt>
                <c:pt idx="49">
                  <c:v>9.3999999999999826</c:v>
                </c:pt>
                <c:pt idx="50">
                  <c:v>9.4999999999999822</c:v>
                </c:pt>
                <c:pt idx="51">
                  <c:v>9.5999999999999819</c:v>
                </c:pt>
                <c:pt idx="52">
                  <c:v>9.6999999999999815</c:v>
                </c:pt>
                <c:pt idx="53">
                  <c:v>9.7999999999999812</c:v>
                </c:pt>
                <c:pt idx="54">
                  <c:v>9.8999999999999808</c:v>
                </c:pt>
                <c:pt idx="55">
                  <c:v>9.9999999999999805</c:v>
                </c:pt>
                <c:pt idx="56">
                  <c:v>10.09999999999998</c:v>
                </c:pt>
                <c:pt idx="57">
                  <c:v>10.19999999999998</c:v>
                </c:pt>
                <c:pt idx="58">
                  <c:v>10.299999999999979</c:v>
                </c:pt>
                <c:pt idx="59">
                  <c:v>10.399999999999979</c:v>
                </c:pt>
                <c:pt idx="60">
                  <c:v>10.499999999999979</c:v>
                </c:pt>
                <c:pt idx="61">
                  <c:v>10.599999999999978</c:v>
                </c:pt>
                <c:pt idx="62">
                  <c:v>10.699999999999978</c:v>
                </c:pt>
                <c:pt idx="63">
                  <c:v>10.799999999999978</c:v>
                </c:pt>
                <c:pt idx="64">
                  <c:v>10.899999999999977</c:v>
                </c:pt>
                <c:pt idx="65">
                  <c:v>10.999999999999977</c:v>
                </c:pt>
                <c:pt idx="66">
                  <c:v>11.099999999999977</c:v>
                </c:pt>
                <c:pt idx="67">
                  <c:v>11.199999999999976</c:v>
                </c:pt>
                <c:pt idx="68">
                  <c:v>11.299999999999976</c:v>
                </c:pt>
                <c:pt idx="69">
                  <c:v>11.399999999999975</c:v>
                </c:pt>
                <c:pt idx="70">
                  <c:v>11.499999999999975</c:v>
                </c:pt>
                <c:pt idx="71">
                  <c:v>11.599999999999975</c:v>
                </c:pt>
                <c:pt idx="72">
                  <c:v>11.699999999999974</c:v>
                </c:pt>
                <c:pt idx="73">
                  <c:v>11.799999999999974</c:v>
                </c:pt>
                <c:pt idx="74">
                  <c:v>11.899999999999974</c:v>
                </c:pt>
                <c:pt idx="75">
                  <c:v>11.999999999999973</c:v>
                </c:pt>
                <c:pt idx="76">
                  <c:v>12.099999999999973</c:v>
                </c:pt>
                <c:pt idx="77">
                  <c:v>12.199999999999973</c:v>
                </c:pt>
                <c:pt idx="78">
                  <c:v>12.299999999999972</c:v>
                </c:pt>
                <c:pt idx="79">
                  <c:v>12.399999999999972</c:v>
                </c:pt>
                <c:pt idx="80">
                  <c:v>12.499999999999972</c:v>
                </c:pt>
                <c:pt idx="81">
                  <c:v>12.599999999999971</c:v>
                </c:pt>
                <c:pt idx="82">
                  <c:v>12.699999999999971</c:v>
                </c:pt>
                <c:pt idx="83">
                  <c:v>12.799999999999971</c:v>
                </c:pt>
                <c:pt idx="84">
                  <c:v>12.89999999999997</c:v>
                </c:pt>
                <c:pt idx="85">
                  <c:v>12.99999999999997</c:v>
                </c:pt>
                <c:pt idx="86">
                  <c:v>13.099999999999969</c:v>
                </c:pt>
                <c:pt idx="87">
                  <c:v>13.199999999999969</c:v>
                </c:pt>
                <c:pt idx="88">
                  <c:v>13.299999999999969</c:v>
                </c:pt>
                <c:pt idx="89">
                  <c:v>13.399999999999968</c:v>
                </c:pt>
                <c:pt idx="90">
                  <c:v>13.499999999999968</c:v>
                </c:pt>
                <c:pt idx="91">
                  <c:v>13.599999999999968</c:v>
                </c:pt>
                <c:pt idx="92">
                  <c:v>13.699999999999967</c:v>
                </c:pt>
                <c:pt idx="93">
                  <c:v>13.799999999999967</c:v>
                </c:pt>
                <c:pt idx="94">
                  <c:v>13.899999999999967</c:v>
                </c:pt>
                <c:pt idx="95">
                  <c:v>13.999999999999966</c:v>
                </c:pt>
                <c:pt idx="96">
                  <c:v>14.099999999999966</c:v>
                </c:pt>
                <c:pt idx="97">
                  <c:v>14.199999999999966</c:v>
                </c:pt>
                <c:pt idx="98">
                  <c:v>14.299999999999965</c:v>
                </c:pt>
                <c:pt idx="99">
                  <c:v>14.399999999999965</c:v>
                </c:pt>
                <c:pt idx="100">
                  <c:v>14.499999999999964</c:v>
                </c:pt>
                <c:pt idx="101">
                  <c:v>14.599999999999964</c:v>
                </c:pt>
                <c:pt idx="102">
                  <c:v>14.699999999999964</c:v>
                </c:pt>
                <c:pt idx="103">
                  <c:v>14.799999999999963</c:v>
                </c:pt>
                <c:pt idx="104">
                  <c:v>14.899999999999963</c:v>
                </c:pt>
                <c:pt idx="105">
                  <c:v>14.999999999999963</c:v>
                </c:pt>
                <c:pt idx="106">
                  <c:v>15.099999999999962</c:v>
                </c:pt>
                <c:pt idx="107">
                  <c:v>15.199999999999962</c:v>
                </c:pt>
                <c:pt idx="108">
                  <c:v>15.299999999999962</c:v>
                </c:pt>
                <c:pt idx="109">
                  <c:v>15.399999999999961</c:v>
                </c:pt>
                <c:pt idx="110">
                  <c:v>15.499999999999961</c:v>
                </c:pt>
                <c:pt idx="111">
                  <c:v>15.599999999999961</c:v>
                </c:pt>
                <c:pt idx="112">
                  <c:v>15.69999999999996</c:v>
                </c:pt>
                <c:pt idx="113">
                  <c:v>15.79999999999996</c:v>
                </c:pt>
                <c:pt idx="114">
                  <c:v>15.899999999999959</c:v>
                </c:pt>
                <c:pt idx="115">
                  <c:v>15.999999999999959</c:v>
                </c:pt>
                <c:pt idx="116">
                  <c:v>16.099999999999959</c:v>
                </c:pt>
                <c:pt idx="117">
                  <c:v>16.19999999999996</c:v>
                </c:pt>
                <c:pt idx="118">
                  <c:v>16.299999999999962</c:v>
                </c:pt>
                <c:pt idx="119">
                  <c:v>16.399999999999963</c:v>
                </c:pt>
                <c:pt idx="120">
                  <c:v>16.499999999999964</c:v>
                </c:pt>
                <c:pt idx="121">
                  <c:v>16.599999999999966</c:v>
                </c:pt>
                <c:pt idx="122">
                  <c:v>16.699999999999967</c:v>
                </c:pt>
                <c:pt idx="123">
                  <c:v>16.799999999999969</c:v>
                </c:pt>
                <c:pt idx="124">
                  <c:v>16.89999999999997</c:v>
                </c:pt>
                <c:pt idx="125">
                  <c:v>16.999999999999972</c:v>
                </c:pt>
                <c:pt idx="126">
                  <c:v>17.099999999999973</c:v>
                </c:pt>
                <c:pt idx="127">
                  <c:v>17.199999999999974</c:v>
                </c:pt>
                <c:pt idx="128">
                  <c:v>17.299999999999976</c:v>
                </c:pt>
                <c:pt idx="129">
                  <c:v>17.399999999999977</c:v>
                </c:pt>
                <c:pt idx="130">
                  <c:v>17.499999999999979</c:v>
                </c:pt>
                <c:pt idx="131">
                  <c:v>17.59999999999998</c:v>
                </c:pt>
                <c:pt idx="132">
                  <c:v>17.699999999999982</c:v>
                </c:pt>
                <c:pt idx="133">
                  <c:v>17.799999999999983</c:v>
                </c:pt>
                <c:pt idx="134">
                  <c:v>17.899999999999984</c:v>
                </c:pt>
                <c:pt idx="135">
                  <c:v>17.999999999999986</c:v>
                </c:pt>
                <c:pt idx="136">
                  <c:v>18.099999999999987</c:v>
                </c:pt>
                <c:pt idx="137">
                  <c:v>18.199999999999989</c:v>
                </c:pt>
                <c:pt idx="138">
                  <c:v>18.29999999999999</c:v>
                </c:pt>
                <c:pt idx="139">
                  <c:v>18.399999999999991</c:v>
                </c:pt>
                <c:pt idx="140">
                  <c:v>18.499999999999993</c:v>
                </c:pt>
                <c:pt idx="141">
                  <c:v>18.599999999999994</c:v>
                </c:pt>
                <c:pt idx="142">
                  <c:v>18.699999999999996</c:v>
                </c:pt>
                <c:pt idx="143">
                  <c:v>18.799999999999997</c:v>
                </c:pt>
                <c:pt idx="144">
                  <c:v>18.899999999999999</c:v>
                </c:pt>
                <c:pt idx="145">
                  <c:v>19</c:v>
                </c:pt>
                <c:pt idx="146">
                  <c:v>19.100000000000001</c:v>
                </c:pt>
                <c:pt idx="147">
                  <c:v>19.200000000000003</c:v>
                </c:pt>
                <c:pt idx="148">
                  <c:v>19.300000000000004</c:v>
                </c:pt>
                <c:pt idx="149">
                  <c:v>19.400000000000006</c:v>
                </c:pt>
                <c:pt idx="150">
                  <c:v>19.500000000000007</c:v>
                </c:pt>
                <c:pt idx="151">
                  <c:v>19.600000000000009</c:v>
                </c:pt>
                <c:pt idx="152">
                  <c:v>19.70000000000001</c:v>
                </c:pt>
                <c:pt idx="153">
                  <c:v>19.800000000000011</c:v>
                </c:pt>
                <c:pt idx="154">
                  <c:v>19.900000000000013</c:v>
                </c:pt>
                <c:pt idx="155">
                  <c:v>20.000000000000014</c:v>
                </c:pt>
                <c:pt idx="156">
                  <c:v>20.100000000000016</c:v>
                </c:pt>
                <c:pt idx="157">
                  <c:v>20.200000000000017</c:v>
                </c:pt>
                <c:pt idx="158">
                  <c:v>20.300000000000018</c:v>
                </c:pt>
                <c:pt idx="159">
                  <c:v>20.40000000000002</c:v>
                </c:pt>
                <c:pt idx="160">
                  <c:v>20.500000000000021</c:v>
                </c:pt>
                <c:pt idx="161">
                  <c:v>20.600000000000023</c:v>
                </c:pt>
                <c:pt idx="162">
                  <c:v>20.700000000000024</c:v>
                </c:pt>
                <c:pt idx="163">
                  <c:v>20.800000000000026</c:v>
                </c:pt>
                <c:pt idx="164">
                  <c:v>20.900000000000027</c:v>
                </c:pt>
                <c:pt idx="165">
                  <c:v>21.000000000000028</c:v>
                </c:pt>
                <c:pt idx="166">
                  <c:v>21.10000000000003</c:v>
                </c:pt>
                <c:pt idx="167">
                  <c:v>21.200000000000031</c:v>
                </c:pt>
                <c:pt idx="168">
                  <c:v>21.300000000000033</c:v>
                </c:pt>
                <c:pt idx="169">
                  <c:v>21.400000000000034</c:v>
                </c:pt>
                <c:pt idx="170">
                  <c:v>21.500000000000036</c:v>
                </c:pt>
                <c:pt idx="171">
                  <c:v>21.600000000000037</c:v>
                </c:pt>
                <c:pt idx="172">
                  <c:v>21.700000000000038</c:v>
                </c:pt>
                <c:pt idx="173">
                  <c:v>21.80000000000004</c:v>
                </c:pt>
                <c:pt idx="174">
                  <c:v>21.900000000000041</c:v>
                </c:pt>
                <c:pt idx="175">
                  <c:v>22.000000000000043</c:v>
                </c:pt>
                <c:pt idx="176">
                  <c:v>22.100000000000044</c:v>
                </c:pt>
                <c:pt idx="177">
                  <c:v>22.200000000000045</c:v>
                </c:pt>
                <c:pt idx="178">
                  <c:v>22.300000000000047</c:v>
                </c:pt>
                <c:pt idx="179">
                  <c:v>22.400000000000048</c:v>
                </c:pt>
                <c:pt idx="180">
                  <c:v>22.50000000000005</c:v>
                </c:pt>
                <c:pt idx="181">
                  <c:v>22.600000000000051</c:v>
                </c:pt>
                <c:pt idx="182">
                  <c:v>22.700000000000053</c:v>
                </c:pt>
                <c:pt idx="183">
                  <c:v>22.800000000000054</c:v>
                </c:pt>
                <c:pt idx="184">
                  <c:v>22.900000000000055</c:v>
                </c:pt>
                <c:pt idx="185">
                  <c:v>23.000000000000057</c:v>
                </c:pt>
                <c:pt idx="186">
                  <c:v>23.100000000000058</c:v>
                </c:pt>
                <c:pt idx="187">
                  <c:v>23.20000000000006</c:v>
                </c:pt>
                <c:pt idx="188">
                  <c:v>23.300000000000061</c:v>
                </c:pt>
                <c:pt idx="189">
                  <c:v>23.400000000000063</c:v>
                </c:pt>
                <c:pt idx="190">
                  <c:v>23.500000000000064</c:v>
                </c:pt>
                <c:pt idx="191">
                  <c:v>23.600000000000065</c:v>
                </c:pt>
                <c:pt idx="192">
                  <c:v>23.700000000000067</c:v>
                </c:pt>
                <c:pt idx="193">
                  <c:v>23.800000000000068</c:v>
                </c:pt>
                <c:pt idx="194">
                  <c:v>23.90000000000007</c:v>
                </c:pt>
                <c:pt idx="195">
                  <c:v>24.000000000000071</c:v>
                </c:pt>
                <c:pt idx="196">
                  <c:v>24.100000000000072</c:v>
                </c:pt>
                <c:pt idx="197">
                  <c:v>24.200000000000074</c:v>
                </c:pt>
                <c:pt idx="198">
                  <c:v>24.300000000000075</c:v>
                </c:pt>
                <c:pt idx="199">
                  <c:v>24.400000000000077</c:v>
                </c:pt>
                <c:pt idx="200">
                  <c:v>24.500000000000078</c:v>
                </c:pt>
                <c:pt idx="201">
                  <c:v>24.60000000000008</c:v>
                </c:pt>
                <c:pt idx="202">
                  <c:v>24.700000000000081</c:v>
                </c:pt>
                <c:pt idx="203">
                  <c:v>24.800000000000082</c:v>
                </c:pt>
                <c:pt idx="204">
                  <c:v>24.900000000000084</c:v>
                </c:pt>
                <c:pt idx="205">
                  <c:v>25.000000000000085</c:v>
                </c:pt>
                <c:pt idx="206">
                  <c:v>25.100000000000087</c:v>
                </c:pt>
                <c:pt idx="207">
                  <c:v>25.200000000000088</c:v>
                </c:pt>
                <c:pt idx="208">
                  <c:v>25.30000000000009</c:v>
                </c:pt>
                <c:pt idx="209">
                  <c:v>25.400000000000091</c:v>
                </c:pt>
                <c:pt idx="210">
                  <c:v>25.500000000000092</c:v>
                </c:pt>
                <c:pt idx="211">
                  <c:v>25.600000000000094</c:v>
                </c:pt>
                <c:pt idx="212">
                  <c:v>25.700000000000095</c:v>
                </c:pt>
                <c:pt idx="213">
                  <c:v>25.800000000000097</c:v>
                </c:pt>
                <c:pt idx="214">
                  <c:v>25.900000000000098</c:v>
                </c:pt>
                <c:pt idx="215">
                  <c:v>26.000000000000099</c:v>
                </c:pt>
                <c:pt idx="216">
                  <c:v>26.100000000000101</c:v>
                </c:pt>
                <c:pt idx="217">
                  <c:v>26.200000000000102</c:v>
                </c:pt>
                <c:pt idx="218">
                  <c:v>26.300000000000104</c:v>
                </c:pt>
                <c:pt idx="219">
                  <c:v>26.400000000000105</c:v>
                </c:pt>
                <c:pt idx="220">
                  <c:v>26.500000000000107</c:v>
                </c:pt>
                <c:pt idx="221">
                  <c:v>26.600000000000108</c:v>
                </c:pt>
                <c:pt idx="222">
                  <c:v>26.700000000000109</c:v>
                </c:pt>
                <c:pt idx="223">
                  <c:v>26.800000000000111</c:v>
                </c:pt>
                <c:pt idx="224">
                  <c:v>26.900000000000112</c:v>
                </c:pt>
                <c:pt idx="225">
                  <c:v>27.000000000000114</c:v>
                </c:pt>
                <c:pt idx="226">
                  <c:v>27.100000000000115</c:v>
                </c:pt>
                <c:pt idx="227">
                  <c:v>27.200000000000117</c:v>
                </c:pt>
                <c:pt idx="228">
                  <c:v>27.300000000000118</c:v>
                </c:pt>
                <c:pt idx="229">
                  <c:v>27.400000000000119</c:v>
                </c:pt>
                <c:pt idx="230">
                  <c:v>27.500000000000121</c:v>
                </c:pt>
              </c:numCache>
            </c:numRef>
          </c:xVal>
          <c:yVal>
            <c:numRef>
              <c:f>'Design.Wake rotation 15 MW, 5.5'!$U$91:$U$1000</c:f>
              <c:numCache>
                <c:formatCode>General</c:formatCode>
                <c:ptCount val="910"/>
                <c:pt idx="0">
                  <c:v>0</c:v>
                </c:pt>
                <c:pt idx="1">
                  <c:v>0</c:v>
                </c:pt>
                <c:pt idx="2">
                  <c:v>7.5314244889970183E-3</c:v>
                </c:pt>
                <c:pt idx="3">
                  <c:v>5.6181216509497922E-2</c:v>
                </c:pt>
                <c:pt idx="4">
                  <c:v>9.5023023958830777E-2</c:v>
                </c:pt>
                <c:pt idx="5">
                  <c:v>0.12655692476519143</c:v>
                </c:pt>
                <c:pt idx="6">
                  <c:v>0.15266965565653301</c:v>
                </c:pt>
                <c:pt idx="7">
                  <c:v>0.17477959009252508</c:v>
                </c:pt>
                <c:pt idx="8">
                  <c:v>0.19394761024354068</c:v>
                </c:pt>
                <c:pt idx="9">
                  <c:v>0.21096202565880251</c:v>
                </c:pt>
                <c:pt idx="10">
                  <c:v>0.2264036890573804</c:v>
                </c:pt>
                <c:pt idx="11">
                  <c:v>0.24069596541640781</c:v>
                </c:pt>
                <c:pt idx="12">
                  <c:v>0.2541430907961022</c:v>
                </c:pt>
                <c:pt idx="13">
                  <c:v>0.26695961501669441</c:v>
                </c:pt>
                <c:pt idx="14">
                  <c:v>0.27929298634751554</c:v>
                </c:pt>
                <c:pt idx="15">
                  <c:v>0.29124085457060023</c:v>
                </c:pt>
                <c:pt idx="16">
                  <c:v>0.30286430259027242</c:v>
                </c:pt>
                <c:pt idx="17">
                  <c:v>0.31419793759200676</c:v>
                </c:pt>
                <c:pt idx="18">
                  <c:v>0.32525755932180811</c:v>
                </c:pt>
                <c:pt idx="19">
                  <c:v>0.33604595945318305</c:v>
                </c:pt>
                <c:pt idx="20">
                  <c:v>0.34655728028983468</c:v>
                </c:pt>
                <c:pt idx="21">
                  <c:v>0.3567802642296245</c:v>
                </c:pt>
                <c:pt idx="22">
                  <c:v>0.36670065069249702</c:v>
                </c:pt>
                <c:pt idx="23">
                  <c:v>0.37630291944113958</c:v>
                </c:pt>
                <c:pt idx="24">
                  <c:v>0.38557153447961801</c:v>
                </c:pt>
                <c:pt idx="25">
                  <c:v>0.39449180801355777</c:v>
                </c:pt>
                <c:pt idx="26">
                  <c:v>0.40305047700882168</c:v>
                </c:pt>
                <c:pt idx="27">
                  <c:v>0.41123606394054768</c:v>
                </c:pt>
                <c:pt idx="28">
                  <c:v>0.41903907703226029</c:v>
                </c:pt>
                <c:pt idx="29">
                  <c:v>0.42645209260583439</c:v>
                </c:pt>
                <c:pt idx="30">
                  <c:v>0.43346975229445839</c:v>
                </c:pt>
                <c:pt idx="31">
                  <c:v>0.44008870019043522</c:v>
                </c:pt>
                <c:pt idx="32">
                  <c:v>0.44630747902552415</c:v>
                </c:pt>
                <c:pt idx="33">
                  <c:v>0.45212639983886094</c:v>
                </c:pt>
                <c:pt idx="34">
                  <c:v>0.45754739598404059</c:v>
                </c:pt>
                <c:pt idx="35">
                  <c:v>0.46257386953598401</c:v>
                </c:pt>
                <c:pt idx="36">
                  <c:v>0.46721053600144602</c:v>
                </c:pt>
                <c:pt idx="37">
                  <c:v>0.47146327157633339</c:v>
                </c:pt>
                <c:pt idx="38">
                  <c:v>0.47533896591915825</c:v>
                </c:pt>
                <c:pt idx="39">
                  <c:v>0.47884538243846198</c:v>
                </c:pt>
                <c:pt idx="40">
                  <c:v>0.48199102735615229</c:v>
                </c:pt>
                <c:pt idx="41">
                  <c:v>0.4847850282556756</c:v>
                </c:pt>
                <c:pt idx="42">
                  <c:v>0.48723702241392797</c:v>
                </c:pt>
                <c:pt idx="43">
                  <c:v>0.48935705491532877</c:v>
                </c:pt>
                <c:pt idx="44">
                  <c:v>0.49115548633167405</c:v>
                </c:pt>
                <c:pt idx="45">
                  <c:v>0.49264290960145019</c:v>
                </c:pt>
                <c:pt idx="46">
                  <c:v>0.49383007564268055</c:v>
                </c:pt>
                <c:pt idx="47">
                  <c:v>0.49472782717128228</c:v>
                </c:pt>
                <c:pt idx="48">
                  <c:v>0.49534704016360553</c:v>
                </c:pt>
                <c:pt idx="49">
                  <c:v>0.49569857238933546</c:v>
                </c:pt>
                <c:pt idx="50">
                  <c:v>0.49579321844418001</c:v>
                </c:pt>
                <c:pt idx="51">
                  <c:v>0.49564167072585752</c:v>
                </c:pt>
                <c:pt idx="52">
                  <c:v>0.49525448581878928</c:v>
                </c:pt>
                <c:pt idx="53">
                  <c:v>0.49464205577981168</c:v>
                </c:pt>
                <c:pt idx="54">
                  <c:v>0.49381458384726074</c:v>
                </c:pt>
                <c:pt idx="55">
                  <c:v>0.49278206412754644</c:v>
                </c:pt>
                <c:pt idx="56">
                  <c:v>0.49155426484547826</c:v>
                </c:pt>
                <c:pt idx="57">
                  <c:v>0.49014071477663634</c:v>
                </c:pt>
                <c:pt idx="58">
                  <c:v>0.48855069251123151</c:v>
                </c:pt>
                <c:pt idx="59">
                  <c:v>0.48679321822877153</c:v>
                </c:pt>
                <c:pt idx="60">
                  <c:v>0.47394664924418534</c:v>
                </c:pt>
                <c:pt idx="61">
                  <c:v>0.46065921014604339</c:v>
                </c:pt>
                <c:pt idx="62">
                  <c:v>0.44786386260017008</c:v>
                </c:pt>
                <c:pt idx="63">
                  <c:v>0.43553803554407688</c:v>
                </c:pt>
                <c:pt idx="64">
                  <c:v>0.42366038894210106</c:v>
                </c:pt>
                <c:pt idx="65">
                  <c:v>0.41221073616175824</c:v>
                </c:pt>
                <c:pt idx="66">
                  <c:v>0.40116997189395392</c:v>
                </c:pt>
                <c:pt idx="67">
                  <c:v>0.39052000517556784</c:v>
                </c:pt>
                <c:pt idx="68">
                  <c:v>0.3802436971116443</c:v>
                </c:pt>
                <c:pt idx="69">
                  <c:v>0.37032480292944414</c:v>
                </c:pt>
                <c:pt idx="70">
                  <c:v>0.36074791802830625</c:v>
                </c:pt>
                <c:pt idx="71">
                  <c:v>0.35149842771799045</c:v>
                </c:pt>
                <c:pt idx="72">
                  <c:v>0.34256246036420807</c:v>
                </c:pt>
                <c:pt idx="73">
                  <c:v>0.33392684368368991</c:v>
                </c:pt>
                <c:pt idx="74">
                  <c:v>0.3255790639526005</c:v>
                </c:pt>
                <c:pt idx="75">
                  <c:v>0.31750722791163211</c:v>
                </c:pt>
                <c:pt idx="76">
                  <c:v>0.30970002716886436</c:v>
                </c:pt>
                <c:pt idx="77">
                  <c:v>0.30214670491764756</c:v>
                </c:pt>
                <c:pt idx="78">
                  <c:v>0.29483702480150409</c:v>
                </c:pt>
                <c:pt idx="79">
                  <c:v>0.28776124177147694</c:v>
                </c:pt>
                <c:pt idx="80">
                  <c:v>0.28091007479362584</c:v>
                </c:pt>
                <c:pt idx="81">
                  <c:v>0.27427468127557042</c:v>
                </c:pt>
                <c:pt idx="82">
                  <c:v>0.26784663309122397</c:v>
                </c:pt>
                <c:pt idx="83">
                  <c:v>0.2616178940922263</c:v>
                </c:pt>
                <c:pt idx="84">
                  <c:v>0.25558079900316277</c:v>
                </c:pt>
                <c:pt idx="85">
                  <c:v>0.2497280336055078</c:v>
                </c:pt>
                <c:pt idx="86">
                  <c:v>0.24405261612243481</c:v>
                </c:pt>
                <c:pt idx="87">
                  <c:v>0.23854787972323988</c:v>
                </c:pt>
                <c:pt idx="88">
                  <c:v>0.23320745607218649</c:v>
                </c:pt>
                <c:pt idx="89">
                  <c:v>0.2280252598521513</c:v>
                </c:pt>
                <c:pt idx="90">
                  <c:v>0.22299547419856752</c:v>
                </c:pt>
                <c:pt idx="91">
                  <c:v>0.2181125369838712</c:v>
                </c:pt>
                <c:pt idx="92">
                  <c:v>0.21337112789698676</c:v>
                </c:pt>
                <c:pt idx="93">
                  <c:v>0.20876615626638109</c:v>
                </c:pt>
                <c:pt idx="94">
                  <c:v>0.20429274957888693</c:v>
                </c:pt>
                <c:pt idx="95">
                  <c:v>0.19994624264989092</c:v>
                </c:pt>
                <c:pt idx="96">
                  <c:v>0.1957221674036049</c:v>
                </c:pt>
                <c:pt idx="97">
                  <c:v>0.19161624322502685</c:v>
                </c:pt>
                <c:pt idx="98">
                  <c:v>0.18762436784786463</c:v>
                </c:pt>
                <c:pt idx="99">
                  <c:v>0.1837426087451576</c:v>
                </c:pt>
                <c:pt idx="100">
                  <c:v>0.17996719499161121</c:v>
                </c:pt>
                <c:pt idx="101">
                  <c:v>0.17629450956876591</c:v>
                </c:pt>
                <c:pt idx="102">
                  <c:v>0.17272108208607359</c:v>
                </c:pt>
                <c:pt idx="103">
                  <c:v>0.16924358189276204</c:v>
                </c:pt>
                <c:pt idx="104">
                  <c:v>0.16585881155704058</c:v>
                </c:pt>
                <c:pt idx="105">
                  <c:v>0.16256370069075579</c:v>
                </c:pt>
                <c:pt idx="106">
                  <c:v>0.1593553000990432</c:v>
                </c:pt>
                <c:pt idx="107">
                  <c:v>0.15623077623585938</c:v>
                </c:pt>
                <c:pt idx="108">
                  <c:v>0.15318740594752001</c:v>
                </c:pt>
                <c:pt idx="109">
                  <c:v>0.15022257148752141</c:v>
                </c:pt>
                <c:pt idx="110">
                  <c:v>0.14733375578699631</c:v>
                </c:pt>
                <c:pt idx="111">
                  <c:v>0.14451853796615041</c:v>
                </c:pt>
                <c:pt idx="112">
                  <c:v>0.14177458907295393</c:v>
                </c:pt>
                <c:pt idx="113">
                  <c:v>0.13909966803622556</c:v>
                </c:pt>
                <c:pt idx="114">
                  <c:v>0.1364916178210501</c:v>
                </c:pt>
                <c:pt idx="115">
                  <c:v>0.13394836177521996</c:v>
                </c:pt>
                <c:pt idx="116">
                  <c:v>0.13146790015608845</c:v>
                </c:pt>
                <c:pt idx="117">
                  <c:v>0.12904830682787477</c:v>
                </c:pt>
                <c:pt idx="118">
                  <c:v>0.12668772612006673</c:v>
                </c:pt>
                <c:pt idx="119">
                  <c:v>0.12438436983813453</c:v>
                </c:pt>
                <c:pt idx="120">
                  <c:v>0.12213651441829876</c:v>
                </c:pt>
                <c:pt idx="121">
                  <c:v>0.11994249821858928</c:v>
                </c:pt>
                <c:pt idx="122">
                  <c:v>0.11780071893889441</c:v>
                </c:pt>
                <c:pt idx="123">
                  <c:v>0.11570963116313114</c:v>
                </c:pt>
                <c:pt idx="124">
                  <c:v>0.11366774401707207</c:v>
                </c:pt>
                <c:pt idx="125">
                  <c:v>0.11167361893574179</c:v>
                </c:pt>
                <c:pt idx="126">
                  <c:v>0.10972586753464993</c:v>
                </c:pt>
                <c:pt idx="127">
                  <c:v>0.10782314957945904</c:v>
                </c:pt>
                <c:pt idx="128">
                  <c:v>0.10596417104899689</c:v>
                </c:pt>
                <c:pt idx="129">
                  <c:v>0.10414768228681169</c:v>
                </c:pt>
                <c:pt idx="130">
                  <c:v>0.1023724762367438</c:v>
                </c:pt>
                <c:pt idx="131">
                  <c:v>0.10063738675824145</c:v>
                </c:pt>
                <c:pt idx="132">
                  <c:v>9.8941287017389259E-2</c:v>
                </c:pt>
                <c:pt idx="133">
                  <c:v>9.7283087949842167E-2</c:v>
                </c:pt>
                <c:pt idx="134">
                  <c:v>9.5661736792070726E-2</c:v>
                </c:pt>
                <c:pt idx="135">
                  <c:v>9.4076215677520239E-2</c:v>
                </c:pt>
                <c:pt idx="136">
                  <c:v>9.2525540294474545E-2</c:v>
                </c:pt>
                <c:pt idx="137">
                  <c:v>9.100875860258982E-2</c:v>
                </c:pt>
                <c:pt idx="138">
                  <c:v>8.9524949605228429E-2</c:v>
                </c:pt>
                <c:pt idx="139">
                  <c:v>8.8073222174879021E-2</c:v>
                </c:pt>
                <c:pt idx="140">
                  <c:v>8.6652713929093614E-2</c:v>
                </c:pt>
                <c:pt idx="141">
                  <c:v>8.5262590154511195E-2</c:v>
                </c:pt>
                <c:pt idx="142">
                  <c:v>8.3902042776665173E-2</c:v>
                </c:pt>
                <c:pt idx="143">
                  <c:v>8.257028937339525E-2</c:v>
                </c:pt>
                <c:pt idx="144">
                  <c:v>8.126657222979812E-2</c:v>
                </c:pt>
                <c:pt idx="145">
                  <c:v>7.9990157432759404E-2</c:v>
                </c:pt>
                <c:pt idx="146">
                  <c:v>7.8740334003212259E-2</c:v>
                </c:pt>
                <c:pt idx="147">
                  <c:v>7.7516413064362771E-2</c:v>
                </c:pt>
                <c:pt idx="148">
                  <c:v>7.6317727044214051E-2</c:v>
                </c:pt>
                <c:pt idx="149">
                  <c:v>7.514362891080599E-2</c:v>
                </c:pt>
                <c:pt idx="150">
                  <c:v>7.3993491438668374E-2</c:v>
                </c:pt>
                <c:pt idx="151">
                  <c:v>7.2866706505061676E-2</c:v>
                </c:pt>
                <c:pt idx="152">
                  <c:v>7.1762684414651307E-2</c:v>
                </c:pt>
                <c:pt idx="153">
                  <c:v>7.0680853251329723E-2</c:v>
                </c:pt>
                <c:pt idx="154">
                  <c:v>6.9620658255964515E-2</c:v>
                </c:pt>
                <c:pt idx="155">
                  <c:v>6.8581561228911944E-2</c:v>
                </c:pt>
                <c:pt idx="156">
                  <c:v>6.7563039956192339E-2</c:v>
                </c:pt>
                <c:pt idx="157">
                  <c:v>6.6564587658278426E-2</c:v>
                </c:pt>
                <c:pt idx="158">
                  <c:v>6.558571246049906E-2</c:v>
                </c:pt>
                <c:pt idx="159">
                  <c:v>6.4625936884109336E-2</c:v>
                </c:pt>
                <c:pt idx="160">
                  <c:v>6.3684797357124248E-2</c:v>
                </c:pt>
                <c:pt idx="161">
                  <c:v>6.2761843744056717E-2</c:v>
                </c:pt>
                <c:pt idx="162">
                  <c:v>6.1856638893741878E-2</c:v>
                </c:pt>
                <c:pt idx="163">
                  <c:v>6.0968758204469023E-2</c:v>
                </c:pt>
                <c:pt idx="164">
                  <c:v>6.0097789205679257E-2</c:v>
                </c:pt>
                <c:pt idx="165">
                  <c:v>5.924333115552257E-2</c:v>
                </c:pt>
                <c:pt idx="166">
                  <c:v>5.8404994653600752E-2</c:v>
                </c:pt>
                <c:pt idx="167">
                  <c:v>5.7582401268254819E-2</c:v>
                </c:pt>
                <c:pt idx="168">
                  <c:v>5.6775183177785057E-2</c:v>
                </c:pt>
                <c:pt idx="169">
                  <c:v>5.5982982825020643E-2</c:v>
                </c:pt>
                <c:pt idx="170">
                  <c:v>5.5205452584682506E-2</c:v>
                </c:pt>
                <c:pt idx="171">
                  <c:v>5.4442254443008993E-2</c:v>
                </c:pt>
                <c:pt idx="172">
                  <c:v>5.3693059689137908E-2</c:v>
                </c:pt>
                <c:pt idx="173">
                  <c:v>5.2957548617762008E-2</c:v>
                </c:pt>
                <c:pt idx="174">
                  <c:v>5.2235410242596605E-2</c:v>
                </c:pt>
                <c:pt idx="175">
                  <c:v>5.1526342020219155E-2</c:v>
                </c:pt>
                <c:pt idx="176">
                  <c:v>5.0830049583860074E-2</c:v>
                </c:pt>
                <c:pt idx="177">
                  <c:v>5.0146246486743623E-2</c:v>
                </c:pt>
                <c:pt idx="178">
                  <c:v>4.9474653954594737E-2</c:v>
                </c:pt>
                <c:pt idx="179">
                  <c:v>4.8815000646945356E-2</c:v>
                </c:pt>
                <c:pt idx="180">
                  <c:v>4.8167022426889937E-2</c:v>
                </c:pt>
                <c:pt idx="181">
                  <c:v>4.7530462138954913E-2</c:v>
                </c:pt>
                <c:pt idx="182">
                  <c:v>4.6905069394762175E-2</c:v>
                </c:pt>
                <c:pt idx="183">
                  <c:v>4.6290600366179886E-2</c:v>
                </c:pt>
                <c:pt idx="184">
                  <c:v>4.5686817585667928E-2</c:v>
                </c:pt>
                <c:pt idx="185">
                  <c:v>4.5093489753537656E-2</c:v>
                </c:pt>
                <c:pt idx="186">
                  <c:v>4.4510391551857521E-2</c:v>
                </c:pt>
                <c:pt idx="187">
                  <c:v>4.3937303464748174E-2</c:v>
                </c:pt>
                <c:pt idx="188">
                  <c:v>4.3374011604821058E-2</c:v>
                </c:pt>
                <c:pt idx="189">
                  <c:v>4.2820307545525384E-2</c:v>
                </c:pt>
                <c:pt idx="190">
                  <c:v>4.2275988159178005E-2</c:v>
                </c:pt>
                <c:pt idx="191">
                  <c:v>4.1740855460460614E-2</c:v>
                </c:pt>
                <c:pt idx="192">
                  <c:v>4.121471645517729E-2</c:v>
                </c:pt>
                <c:pt idx="193">
                  <c:v>4.0697382994074452E-2</c:v>
                </c:pt>
                <c:pt idx="194">
                  <c:v>4.0188671631533404E-2</c:v>
                </c:pt>
                <c:pt idx="195">
                  <c:v>3.9688403488953403E-2</c:v>
                </c:pt>
                <c:pt idx="196">
                  <c:v>3.9196404122650845E-2</c:v>
                </c:pt>
                <c:pt idx="197">
                  <c:v>3.871250339610742E-2</c:v>
                </c:pt>
                <c:pt idx="198">
                  <c:v>3.8236535356406705E-2</c:v>
                </c:pt>
                <c:pt idx="199">
                  <c:v>3.7768338114705327E-2</c:v>
                </c:pt>
                <c:pt idx="200">
                  <c:v>3.7307753730591267E-2</c:v>
                </c:pt>
                <c:pt idx="201">
                  <c:v>3.68546281001874E-2</c:v>
                </c:pt>
                <c:pt idx="202">
                  <c:v>3.6408810847864639E-2</c:v>
                </c:pt>
                <c:pt idx="203">
                  <c:v>3.5970155221434014E-2</c:v>
                </c:pt>
                <c:pt idx="204">
                  <c:v>3.5538517990692547E-2</c:v>
                </c:pt>
                <c:pt idx="205">
                  <c:v>3.5113759349202626E-2</c:v>
                </c:pt>
                <c:pt idx="206">
                  <c:v>3.4695742819189496E-2</c:v>
                </c:pt>
                <c:pt idx="207">
                  <c:v>3.4284335159445713E-2</c:v>
                </c:pt>
                <c:pt idx="208">
                  <c:v>3.3879406276136372E-2</c:v>
                </c:pt>
                <c:pt idx="209">
                  <c:v>3.34808291364024E-2</c:v>
                </c:pt>
                <c:pt idx="210">
                  <c:v>3.3088479684663719E-2</c:v>
                </c:pt>
                <c:pt idx="211">
                  <c:v>3.2702236761527705E-2</c:v>
                </c:pt>
                <c:pt idx="212">
                  <c:v>3.2321982025212068E-2</c:v>
                </c:pt>
                <c:pt idx="213">
                  <c:v>3.1947599875394771E-2</c:v>
                </c:pt>
                <c:pt idx="214">
                  <c:v>3.1578977379406903E-2</c:v>
                </c:pt>
                <c:pt idx="215">
                  <c:v>3.1216004200687892E-2</c:v>
                </c:pt>
                <c:pt idx="216">
                  <c:v>3.0858572529425209E-2</c:v>
                </c:pt>
                <c:pt idx="217">
                  <c:v>3.0506577015303779E-2</c:v>
                </c:pt>
                <c:pt idx="218">
                  <c:v>3.0159914702293344E-2</c:v>
                </c:pt>
                <c:pt idx="219">
                  <c:v>2.9818484965404419E-2</c:v>
                </c:pt>
                <c:pt idx="220">
                  <c:v>2.9482189449346243E-2</c:v>
                </c:pt>
                <c:pt idx="221">
                  <c:v>2.9150932009022749E-2</c:v>
                </c:pt>
                <c:pt idx="222">
                  <c:v>2.8824618651804648E-2</c:v>
                </c:pt>
                <c:pt idx="223">
                  <c:v>2.8503157481518358E-2</c:v>
                </c:pt>
                <c:pt idx="224">
                  <c:v>2.8186458644094407E-2</c:v>
                </c:pt>
                <c:pt idx="225">
                  <c:v>2.7874434274820396E-2</c:v>
                </c:pt>
                <c:pt idx="226">
                  <c:v>2.7566998447145174E-2</c:v>
                </c:pt>
                <c:pt idx="227">
                  <c:v>2.7264067122983356E-2</c:v>
                </c:pt>
                <c:pt idx="228">
                  <c:v>2.6965558104470662E-2</c:v>
                </c:pt>
                <c:pt idx="229">
                  <c:v>2.667139098712281E-2</c:v>
                </c:pt>
                <c:pt idx="230">
                  <c:v>2.6381487114352016E-2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BC8-46A9-9332-2F4EE263F5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526415"/>
        <c:axId val="830525999"/>
      </c:scatterChart>
      <c:valAx>
        <c:axId val="827820447"/>
        <c:scaling>
          <c:orientation val="minMax"/>
          <c:max val="21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Wind speed,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dk1"/>
            </a:solidFill>
            <a:prstDash val="solid"/>
            <a:miter lim="800000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827822943"/>
        <c:crosses val="autoZero"/>
        <c:crossBetween val="midCat"/>
        <c:majorUnit val="5"/>
      </c:valAx>
      <c:valAx>
        <c:axId val="827822943"/>
        <c:scaling>
          <c:orientation val="minMax"/>
          <c:max val="17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Power, MW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prstDash val="solid"/>
            <a:miter lim="800000"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827820447"/>
        <c:crosses val="autoZero"/>
        <c:crossBetween val="midCat"/>
      </c:valAx>
      <c:valAx>
        <c:axId val="830525999"/>
        <c:scaling>
          <c:orientation val="minMax"/>
          <c:max val="0.66000000000000014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i-FI"/>
                  <a:t>Power coefficient, CP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FI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round/>
            <a:headEnd type="none" w="med" len="med"/>
            <a:tailEnd type="triangle" w="med" len="me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FI"/>
          </a:p>
        </c:txPr>
        <c:crossAx val="830526415"/>
        <c:crosses val="max"/>
        <c:crossBetween val="midCat"/>
      </c:valAx>
      <c:valAx>
        <c:axId val="830526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305259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en-FI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381678</xdr:colOff>
      <xdr:row>4</xdr:row>
      <xdr:rowOff>167367</xdr:rowOff>
    </xdr:from>
    <xdr:to>
      <xdr:col>13</xdr:col>
      <xdr:colOff>5853</xdr:colOff>
      <xdr:row>21</xdr:row>
      <xdr:rowOff>168867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61280C6-08CB-43E6-B9A3-9E210AA2ED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136072</xdr:colOff>
      <xdr:row>4</xdr:row>
      <xdr:rowOff>40821</xdr:rowOff>
    </xdr:from>
    <xdr:to>
      <xdr:col>31</xdr:col>
      <xdr:colOff>195676</xdr:colOff>
      <xdr:row>21</xdr:row>
      <xdr:rowOff>42321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E90CB58-CD21-45BA-81CC-319A75895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95250</xdr:colOff>
      <xdr:row>6</xdr:row>
      <xdr:rowOff>66675</xdr:rowOff>
    </xdr:from>
    <xdr:to>
      <xdr:col>29</xdr:col>
      <xdr:colOff>219075</xdr:colOff>
      <xdr:row>32</xdr:row>
      <xdr:rowOff>9525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8AC1DB2-546A-4210-9697-87348C572C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287890</xdr:colOff>
      <xdr:row>50</xdr:row>
      <xdr:rowOff>85511</xdr:rowOff>
    </xdr:from>
    <xdr:to>
      <xdr:col>31</xdr:col>
      <xdr:colOff>487524</xdr:colOff>
      <xdr:row>67</xdr:row>
      <xdr:rowOff>50623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7281514-D90A-40E7-953B-BAEF0A732F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485524</xdr:colOff>
      <xdr:row>83</xdr:row>
      <xdr:rowOff>25756</xdr:rowOff>
    </xdr:from>
    <xdr:to>
      <xdr:col>30</xdr:col>
      <xdr:colOff>69779</xdr:colOff>
      <xdr:row>99</xdr:row>
      <xdr:rowOff>181368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075F520-69AA-462F-8721-8C045730B7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AA362-BCD9-4D3A-BB40-B83D7128F291}">
  <sheetPr codeName="Sheet1"/>
  <dimension ref="A2:S118"/>
  <sheetViews>
    <sheetView tabSelected="1" zoomScale="70" zoomScaleNormal="70" workbookViewId="0">
      <selection activeCell="N27" sqref="N27"/>
    </sheetView>
  </sheetViews>
  <sheetFormatPr defaultRowHeight="14.5"/>
  <cols>
    <col min="11" max="11" width="6.453125" customWidth="1"/>
  </cols>
  <sheetData>
    <row r="2" spans="1:19" ht="21">
      <c r="B2" s="58" t="s">
        <v>14</v>
      </c>
      <c r="P2" s="58" t="s">
        <v>15</v>
      </c>
    </row>
    <row r="4" spans="1:19">
      <c r="B4" t="s">
        <v>7</v>
      </c>
      <c r="C4" t="s">
        <v>8</v>
      </c>
      <c r="D4" t="s">
        <v>9</v>
      </c>
      <c r="E4" t="s">
        <v>10</v>
      </c>
      <c r="P4" t="s">
        <v>7</v>
      </c>
      <c r="Q4" t="s">
        <v>8</v>
      </c>
      <c r="R4" t="s">
        <v>9</v>
      </c>
      <c r="S4" t="s">
        <v>10</v>
      </c>
    </row>
    <row r="5" spans="1:19">
      <c r="B5">
        <v>-9.5</v>
      </c>
      <c r="C5">
        <v>-0.39119999999999999</v>
      </c>
      <c r="D5">
        <v>0.11156000000000001</v>
      </c>
      <c r="E5">
        <f>D5/C5</f>
        <v>-0.28517382413087938</v>
      </c>
      <c r="P5">
        <v>-11.75</v>
      </c>
      <c r="Q5">
        <v>-0.65069999999999995</v>
      </c>
      <c r="R5">
        <v>7.7979999999999994E-2</v>
      </c>
      <c r="S5">
        <f>R5/Q5</f>
        <v>-0.11984017212232979</v>
      </c>
    </row>
    <row r="6" spans="1:19">
      <c r="A6" s="1"/>
      <c r="B6">
        <v>-9.25</v>
      </c>
      <c r="C6">
        <v>-0.35299999999999998</v>
      </c>
      <c r="D6">
        <v>0.10599</v>
      </c>
      <c r="E6">
        <f t="shared" ref="E6:E69" si="0">D6/C6</f>
        <v>-0.3002549575070822</v>
      </c>
      <c r="P6">
        <v>-11.5</v>
      </c>
      <c r="Q6">
        <v>-0.68020000000000003</v>
      </c>
      <c r="R6">
        <v>7.0540000000000005E-2</v>
      </c>
      <c r="S6">
        <f t="shared" ref="S6:S69" si="1">R6/Q6</f>
        <v>-0.10370479270802706</v>
      </c>
    </row>
    <row r="7" spans="1:19">
      <c r="A7" s="1"/>
      <c r="B7">
        <v>-9</v>
      </c>
      <c r="C7">
        <v>-0.59519999999999995</v>
      </c>
      <c r="D7">
        <v>7.639E-2</v>
      </c>
      <c r="E7">
        <f t="shared" si="0"/>
        <v>-0.12834341397849464</v>
      </c>
      <c r="P7">
        <v>-11.25</v>
      </c>
      <c r="Q7">
        <v>-0.71740000000000004</v>
      </c>
      <c r="R7">
        <v>6.4460000000000003E-2</v>
      </c>
      <c r="S7">
        <f t="shared" si="1"/>
        <v>-8.985224421522163E-2</v>
      </c>
    </row>
    <row r="8" spans="1:19">
      <c r="A8" s="1"/>
      <c r="B8">
        <v>-8.75</v>
      </c>
      <c r="C8">
        <v>-0.61460000000000004</v>
      </c>
      <c r="D8">
        <v>7.1529999999999996E-2</v>
      </c>
      <c r="E8">
        <f t="shared" si="0"/>
        <v>-0.11638464041653107</v>
      </c>
      <c r="P8">
        <v>-11</v>
      </c>
      <c r="Q8">
        <v>-0.75590000000000002</v>
      </c>
      <c r="R8">
        <v>6.0330000000000002E-2</v>
      </c>
      <c r="S8">
        <f t="shared" si="1"/>
        <v>-7.9812144463553378E-2</v>
      </c>
    </row>
    <row r="9" spans="1:19">
      <c r="A9" s="1"/>
      <c r="B9">
        <v>-8.5</v>
      </c>
      <c r="C9">
        <v>-0.63690000000000002</v>
      </c>
      <c r="D9">
        <v>6.6769999999999996E-2</v>
      </c>
      <c r="E9">
        <f t="shared" si="0"/>
        <v>-0.10483592400690846</v>
      </c>
      <c r="P9">
        <v>-10.75</v>
      </c>
      <c r="Q9">
        <v>-0.79020000000000001</v>
      </c>
      <c r="R9">
        <v>5.6460000000000003E-2</v>
      </c>
      <c r="S9">
        <f t="shared" si="1"/>
        <v>-7.1450265755504935E-2</v>
      </c>
    </row>
    <row r="10" spans="1:19">
      <c r="A10" s="1"/>
      <c r="B10">
        <v>-8.25</v>
      </c>
      <c r="C10">
        <v>-0.66139999999999999</v>
      </c>
      <c r="D10">
        <v>6.198E-2</v>
      </c>
      <c r="E10">
        <f t="shared" si="0"/>
        <v>-9.3710311460538251E-2</v>
      </c>
      <c r="P10">
        <v>-10.5</v>
      </c>
      <c r="Q10">
        <v>-0.81789999999999996</v>
      </c>
      <c r="R10">
        <v>5.2760000000000001E-2</v>
      </c>
      <c r="S10">
        <f t="shared" si="1"/>
        <v>-6.4506663406284387E-2</v>
      </c>
    </row>
    <row r="11" spans="1:19">
      <c r="A11" s="1"/>
      <c r="B11">
        <v>-8</v>
      </c>
      <c r="C11">
        <v>-0.68300000000000005</v>
      </c>
      <c r="D11">
        <v>5.7320000000000003E-2</v>
      </c>
      <c r="E11">
        <f t="shared" si="0"/>
        <v>-8.3923865300146408E-2</v>
      </c>
      <c r="P11">
        <v>-10.25</v>
      </c>
      <c r="Q11">
        <v>-0.8397</v>
      </c>
      <c r="R11">
        <v>4.9329999999999999E-2</v>
      </c>
      <c r="S11">
        <f t="shared" si="1"/>
        <v>-5.8747171608907939E-2</v>
      </c>
    </row>
    <row r="12" spans="1:19">
      <c r="A12" s="1"/>
      <c r="B12">
        <v>-7.75</v>
      </c>
      <c r="C12">
        <v>-0.70009999999999994</v>
      </c>
      <c r="D12">
        <v>5.2839999999999998E-2</v>
      </c>
      <c r="E12">
        <f t="shared" si="0"/>
        <v>-7.5474932152549634E-2</v>
      </c>
      <c r="P12">
        <v>-10</v>
      </c>
      <c r="Q12">
        <v>-0.85640000000000005</v>
      </c>
      <c r="R12">
        <v>4.6190000000000002E-2</v>
      </c>
      <c r="S12">
        <f t="shared" si="1"/>
        <v>-5.3935077066791216E-2</v>
      </c>
    </row>
    <row r="13" spans="1:19">
      <c r="A13" s="1"/>
      <c r="B13">
        <v>-7.5</v>
      </c>
      <c r="C13">
        <v>-0.69850000000000001</v>
      </c>
      <c r="D13">
        <v>4.9779999999999998E-2</v>
      </c>
      <c r="E13">
        <f t="shared" si="0"/>
        <v>-7.1267000715819609E-2</v>
      </c>
      <c r="P13">
        <v>-9.75</v>
      </c>
      <c r="Q13">
        <v>-0.85950000000000004</v>
      </c>
      <c r="R13">
        <v>4.342E-2</v>
      </c>
      <c r="S13">
        <f t="shared" si="1"/>
        <v>-5.0517742873763816E-2</v>
      </c>
    </row>
    <row r="14" spans="1:19">
      <c r="A14" s="1"/>
      <c r="B14">
        <v>-7.25</v>
      </c>
      <c r="C14">
        <v>-0.68610000000000004</v>
      </c>
      <c r="D14">
        <v>4.8219999999999999E-2</v>
      </c>
      <c r="E14">
        <f t="shared" si="0"/>
        <v>-7.0281300102025934E-2</v>
      </c>
      <c r="P14">
        <v>-9.5</v>
      </c>
      <c r="Q14">
        <v>-0.84499999999999997</v>
      </c>
      <c r="R14">
        <v>4.206E-2</v>
      </c>
      <c r="S14">
        <f t="shared" si="1"/>
        <v>-4.9775147928994082E-2</v>
      </c>
    </row>
    <row r="15" spans="1:19">
      <c r="A15" s="1"/>
      <c r="B15">
        <v>-7</v>
      </c>
      <c r="C15">
        <v>-0.68540000000000001</v>
      </c>
      <c r="D15">
        <v>4.5130000000000003E-2</v>
      </c>
      <c r="E15">
        <f t="shared" si="0"/>
        <v>-6.5844762182667063E-2</v>
      </c>
      <c r="P15">
        <v>-9.25</v>
      </c>
      <c r="Q15">
        <v>-0.83609999999999995</v>
      </c>
      <c r="R15">
        <v>4.0570000000000002E-2</v>
      </c>
      <c r="S15">
        <f t="shared" si="1"/>
        <v>-4.8522903958856604E-2</v>
      </c>
    </row>
    <row r="16" spans="1:19">
      <c r="A16" s="1"/>
      <c r="B16">
        <v>-6.75</v>
      </c>
      <c r="C16">
        <v>-0.67800000000000005</v>
      </c>
      <c r="D16">
        <v>4.2549999999999998E-2</v>
      </c>
      <c r="E16">
        <f t="shared" si="0"/>
        <v>-6.2758112094395274E-2</v>
      </c>
      <c r="P16">
        <v>-9</v>
      </c>
      <c r="Q16">
        <v>-0.83199999999999996</v>
      </c>
      <c r="R16">
        <v>3.8629999999999998E-2</v>
      </c>
      <c r="S16">
        <f t="shared" si="1"/>
        <v>-4.643028846153846E-2</v>
      </c>
    </row>
    <row r="17" spans="1:19">
      <c r="A17" s="1"/>
      <c r="B17">
        <v>-6.5</v>
      </c>
      <c r="C17">
        <v>-0.66359999999999997</v>
      </c>
      <c r="D17">
        <v>4.113E-2</v>
      </c>
      <c r="E17">
        <f t="shared" si="0"/>
        <v>-6.1980108499095847E-2</v>
      </c>
      <c r="P17">
        <v>-8.75</v>
      </c>
      <c r="Q17">
        <v>-0.82940000000000003</v>
      </c>
      <c r="R17">
        <v>3.6569999999999998E-2</v>
      </c>
      <c r="S17">
        <f t="shared" si="1"/>
        <v>-4.4092114781769949E-2</v>
      </c>
    </row>
    <row r="18" spans="1:19">
      <c r="A18" s="1"/>
      <c r="B18">
        <v>-6.25</v>
      </c>
      <c r="C18">
        <v>-0.65300000000000002</v>
      </c>
      <c r="D18">
        <v>3.884E-2</v>
      </c>
      <c r="E18">
        <f t="shared" si="0"/>
        <v>-5.9479326186830016E-2</v>
      </c>
      <c r="P18">
        <v>-8.5</v>
      </c>
      <c r="Q18">
        <v>-0.8155</v>
      </c>
      <c r="R18">
        <v>3.4840000000000003E-2</v>
      </c>
      <c r="S18">
        <f t="shared" si="1"/>
        <v>-4.2722256284488044E-2</v>
      </c>
    </row>
    <row r="19" spans="1:19">
      <c r="A19" s="1"/>
      <c r="B19">
        <v>-6</v>
      </c>
      <c r="C19">
        <v>-0.63670000000000004</v>
      </c>
      <c r="D19">
        <v>3.7609999999999998E-2</v>
      </c>
      <c r="E19">
        <f t="shared" si="0"/>
        <v>-5.9070205748390128E-2</v>
      </c>
      <c r="P19">
        <v>-8.25</v>
      </c>
      <c r="Q19">
        <v>-0.80030000000000001</v>
      </c>
      <c r="R19">
        <v>3.3829999999999999E-2</v>
      </c>
      <c r="S19">
        <f t="shared" si="1"/>
        <v>-4.2271648131950515E-2</v>
      </c>
    </row>
    <row r="20" spans="1:19">
      <c r="A20" s="1"/>
      <c r="B20">
        <v>-5.75</v>
      </c>
      <c r="C20">
        <v>-0.62090000000000001</v>
      </c>
      <c r="D20">
        <v>3.6110000000000003E-2</v>
      </c>
      <c r="E20">
        <f t="shared" si="0"/>
        <v>-5.8157513287163801E-2</v>
      </c>
      <c r="P20">
        <v>-8</v>
      </c>
      <c r="Q20">
        <v>-0.78790000000000004</v>
      </c>
      <c r="R20">
        <v>3.2500000000000001E-2</v>
      </c>
      <c r="S20">
        <f t="shared" si="1"/>
        <v>-4.1248889452976265E-2</v>
      </c>
    </row>
    <row r="21" spans="1:19">
      <c r="A21" s="1"/>
      <c r="B21">
        <v>-5.5</v>
      </c>
      <c r="C21">
        <v>-0.60460000000000003</v>
      </c>
      <c r="D21">
        <v>3.465E-2</v>
      </c>
      <c r="E21">
        <f t="shared" si="0"/>
        <v>-5.7310618590803837E-2</v>
      </c>
      <c r="P21">
        <v>-7.75</v>
      </c>
      <c r="Q21">
        <v>-0.7732</v>
      </c>
      <c r="R21">
        <v>3.099E-2</v>
      </c>
      <c r="S21">
        <f t="shared" si="1"/>
        <v>-4.0080186239006728E-2</v>
      </c>
    </row>
    <row r="22" spans="1:19">
      <c r="A22" s="1"/>
      <c r="B22">
        <v>-5.25</v>
      </c>
      <c r="C22">
        <v>-0.58640000000000003</v>
      </c>
      <c r="D22">
        <v>3.3640000000000003E-2</v>
      </c>
      <c r="E22">
        <f t="shared" si="0"/>
        <v>-5.7366984993178723E-2</v>
      </c>
      <c r="P22">
        <v>-7.5</v>
      </c>
      <c r="Q22">
        <v>-0.75590000000000002</v>
      </c>
      <c r="R22">
        <v>3.015E-2</v>
      </c>
      <c r="S22">
        <f t="shared" si="1"/>
        <v>-3.9886228337081622E-2</v>
      </c>
    </row>
    <row r="23" spans="1:19">
      <c r="A23" s="1"/>
      <c r="B23">
        <v>-5</v>
      </c>
      <c r="C23">
        <v>-0.56769999999999998</v>
      </c>
      <c r="D23">
        <v>3.27E-2</v>
      </c>
      <c r="E23">
        <f t="shared" si="0"/>
        <v>-5.7600845516998414E-2</v>
      </c>
      <c r="P23">
        <v>-7.25</v>
      </c>
      <c r="Q23">
        <v>-0.7399</v>
      </c>
      <c r="R23">
        <v>2.9180000000000001E-2</v>
      </c>
      <c r="S23">
        <f t="shared" si="1"/>
        <v>-3.9437761859710777E-2</v>
      </c>
    </row>
    <row r="24" spans="1:19">
      <c r="A24" s="1"/>
      <c r="B24">
        <v>-4.75</v>
      </c>
      <c r="C24">
        <v>-0.5484</v>
      </c>
      <c r="D24">
        <v>3.1780000000000003E-2</v>
      </c>
      <c r="E24">
        <f t="shared" si="0"/>
        <v>-5.7950401167031367E-2</v>
      </c>
      <c r="P24">
        <v>-7</v>
      </c>
      <c r="Q24">
        <v>-0.72130000000000005</v>
      </c>
      <c r="R24">
        <v>2.811E-2</v>
      </c>
      <c r="S24">
        <f t="shared" si="1"/>
        <v>-3.8971301816165253E-2</v>
      </c>
    </row>
    <row r="25" spans="1:19">
      <c r="A25" s="1"/>
      <c r="B25">
        <v>-4.5</v>
      </c>
      <c r="C25">
        <v>-0.52900000000000003</v>
      </c>
      <c r="D25">
        <v>3.0970000000000001E-2</v>
      </c>
      <c r="E25">
        <f t="shared" si="0"/>
        <v>-5.8544423440453686E-2</v>
      </c>
      <c r="P25">
        <v>-6.75</v>
      </c>
      <c r="Q25">
        <v>-0.70309999999999995</v>
      </c>
      <c r="R25">
        <v>2.742E-2</v>
      </c>
      <c r="S25">
        <f t="shared" si="1"/>
        <v>-3.8998719954487275E-2</v>
      </c>
    </row>
    <row r="26" spans="1:19">
      <c r="A26" s="1"/>
      <c r="B26">
        <v>-4.25</v>
      </c>
      <c r="C26">
        <v>-0.50939999999999996</v>
      </c>
      <c r="D26">
        <v>3.022E-2</v>
      </c>
      <c r="E26">
        <f t="shared" si="0"/>
        <v>-5.9324695720455442E-2</v>
      </c>
      <c r="P26">
        <v>-6.5</v>
      </c>
      <c r="Q26">
        <v>-0.68379999999999996</v>
      </c>
      <c r="R26">
        <v>2.6530000000000001E-2</v>
      </c>
      <c r="S26">
        <f t="shared" si="1"/>
        <v>-3.8797894121088042E-2</v>
      </c>
    </row>
    <row r="27" spans="1:19">
      <c r="A27" s="1"/>
      <c r="B27">
        <v>-4</v>
      </c>
      <c r="C27">
        <v>-0.48980000000000001</v>
      </c>
      <c r="D27">
        <v>2.954E-2</v>
      </c>
      <c r="E27">
        <f t="shared" si="0"/>
        <v>-6.0310330747243769E-2</v>
      </c>
      <c r="P27">
        <v>-6.25</v>
      </c>
      <c r="Q27">
        <v>-0.66449999999999998</v>
      </c>
      <c r="R27">
        <v>2.597E-2</v>
      </c>
      <c r="S27">
        <f t="shared" si="1"/>
        <v>-3.908201655379985E-2</v>
      </c>
    </row>
    <row r="28" spans="1:19">
      <c r="A28" s="1"/>
      <c r="B28">
        <v>-3.75</v>
      </c>
      <c r="C28">
        <v>-0.47070000000000001</v>
      </c>
      <c r="D28">
        <v>2.904E-2</v>
      </c>
      <c r="E28">
        <f t="shared" si="0"/>
        <v>-6.1695347355003184E-2</v>
      </c>
      <c r="P28">
        <v>-6</v>
      </c>
      <c r="Q28">
        <v>-0.64480000000000004</v>
      </c>
      <c r="R28">
        <v>2.5270000000000001E-2</v>
      </c>
      <c r="S28">
        <f t="shared" si="1"/>
        <v>-3.9190446650124069E-2</v>
      </c>
    </row>
    <row r="29" spans="1:19">
      <c r="A29" s="1"/>
      <c r="B29">
        <v>-3.5</v>
      </c>
      <c r="C29">
        <v>-0.45140000000000002</v>
      </c>
      <c r="D29">
        <v>2.8580000000000001E-2</v>
      </c>
      <c r="E29">
        <f t="shared" si="0"/>
        <v>-6.331413380593709E-2</v>
      </c>
      <c r="P29">
        <v>-5.75</v>
      </c>
      <c r="Q29">
        <v>-0.62539999999999996</v>
      </c>
      <c r="R29">
        <v>2.4830000000000001E-2</v>
      </c>
      <c r="S29">
        <f t="shared" si="1"/>
        <v>-3.9702590342181009E-2</v>
      </c>
    </row>
    <row r="30" spans="1:19">
      <c r="A30" s="1"/>
      <c r="B30">
        <v>-3.25</v>
      </c>
      <c r="C30">
        <v>-0.43259999999999998</v>
      </c>
      <c r="D30">
        <v>2.8219999999999999E-2</v>
      </c>
      <c r="E30">
        <f t="shared" si="0"/>
        <v>-6.5233472029588527E-2</v>
      </c>
      <c r="P30">
        <v>-5.5</v>
      </c>
      <c r="Q30">
        <v>-0.60560000000000003</v>
      </c>
      <c r="R30">
        <v>2.427E-2</v>
      </c>
      <c r="S30">
        <f t="shared" si="1"/>
        <v>-4.0075957727873181E-2</v>
      </c>
    </row>
    <row r="31" spans="1:19">
      <c r="A31" s="1"/>
      <c r="B31">
        <v>-3</v>
      </c>
      <c r="C31">
        <v>-0.41360000000000002</v>
      </c>
      <c r="D31">
        <v>2.793E-2</v>
      </c>
      <c r="E31">
        <f t="shared" si="0"/>
        <v>-6.7529013539651836E-2</v>
      </c>
      <c r="P31">
        <v>-5.25</v>
      </c>
      <c r="Q31">
        <v>-0.58579999999999999</v>
      </c>
      <c r="R31">
        <v>2.3789999999999999E-2</v>
      </c>
      <c r="S31">
        <f t="shared" si="1"/>
        <v>-4.0611130078525091E-2</v>
      </c>
    </row>
    <row r="32" spans="1:19">
      <c r="A32" s="1"/>
      <c r="B32">
        <v>-2.75</v>
      </c>
      <c r="C32">
        <v>-0.39560000000000001</v>
      </c>
      <c r="D32">
        <v>2.7730000000000001E-2</v>
      </c>
      <c r="E32">
        <f t="shared" si="0"/>
        <v>-7.0096056622851372E-2</v>
      </c>
      <c r="P32">
        <v>-5</v>
      </c>
      <c r="Q32">
        <v>-0.56610000000000005</v>
      </c>
      <c r="R32">
        <v>2.3429999999999999E-2</v>
      </c>
      <c r="S32">
        <f t="shared" si="1"/>
        <v>-4.138844727080021E-2</v>
      </c>
    </row>
    <row r="33" spans="1:19">
      <c r="A33" s="1"/>
      <c r="B33">
        <v>-2.5</v>
      </c>
      <c r="C33">
        <v>-0.37830000000000003</v>
      </c>
      <c r="D33">
        <v>2.7609999999999999E-2</v>
      </c>
      <c r="E33">
        <f t="shared" si="0"/>
        <v>-7.2984403912238954E-2</v>
      </c>
      <c r="P33">
        <v>-4.75</v>
      </c>
      <c r="Q33">
        <v>-0.52790000000000004</v>
      </c>
      <c r="R33">
        <v>2.3089999999999999E-2</v>
      </c>
      <c r="S33">
        <f t="shared" si="1"/>
        <v>-4.3739344572835757E-2</v>
      </c>
    </row>
    <row r="34" spans="1:19">
      <c r="A34" s="1"/>
      <c r="B34">
        <v>-2.25</v>
      </c>
      <c r="C34">
        <v>-0.36180000000000001</v>
      </c>
      <c r="D34">
        <v>2.7570000000000001E-2</v>
      </c>
      <c r="E34">
        <f t="shared" si="0"/>
        <v>-7.6202321724709782E-2</v>
      </c>
      <c r="P34">
        <v>-4.5</v>
      </c>
      <c r="Q34">
        <v>-0.48449999999999999</v>
      </c>
      <c r="R34">
        <v>2.281E-2</v>
      </c>
      <c r="S34">
        <f t="shared" si="1"/>
        <v>-4.7079463364293091E-2</v>
      </c>
    </row>
    <row r="35" spans="1:19">
      <c r="A35" s="1"/>
      <c r="B35">
        <v>-2</v>
      </c>
      <c r="C35">
        <v>-0.34620000000000001</v>
      </c>
      <c r="D35">
        <v>2.759E-2</v>
      </c>
      <c r="E35">
        <f t="shared" si="0"/>
        <v>-7.9693818601964186E-2</v>
      </c>
      <c r="P35">
        <v>-4.25</v>
      </c>
      <c r="Q35">
        <v>-0.4395</v>
      </c>
      <c r="R35">
        <v>2.2610000000000002E-2</v>
      </c>
      <c r="S35">
        <f t="shared" si="1"/>
        <v>-5.1444823663253703E-2</v>
      </c>
    </row>
    <row r="36" spans="1:19">
      <c r="A36" s="1"/>
      <c r="B36">
        <v>-1.75</v>
      </c>
      <c r="C36">
        <v>-0.33279999999999998</v>
      </c>
      <c r="D36">
        <v>2.7660000000000001E-2</v>
      </c>
      <c r="E36">
        <f t="shared" si="0"/>
        <v>-8.3112980769230779E-2</v>
      </c>
      <c r="P36">
        <v>-4</v>
      </c>
      <c r="Q36">
        <v>-0.39889999999999998</v>
      </c>
      <c r="R36">
        <v>2.2280000000000001E-2</v>
      </c>
      <c r="S36">
        <f t="shared" si="1"/>
        <v>-5.5853597392830287E-2</v>
      </c>
    </row>
    <row r="37" spans="1:19">
      <c r="A37" s="1"/>
      <c r="B37">
        <v>-1.5</v>
      </c>
      <c r="C37">
        <v>-0.32229999999999998</v>
      </c>
      <c r="D37">
        <v>2.7810000000000001E-2</v>
      </c>
      <c r="E37">
        <f t="shared" si="0"/>
        <v>-8.6286068879925543E-2</v>
      </c>
      <c r="P37">
        <v>-3.75</v>
      </c>
      <c r="Q37">
        <v>-0.35909999999999997</v>
      </c>
      <c r="R37">
        <v>2.2009999999999998E-2</v>
      </c>
      <c r="S37">
        <f t="shared" si="1"/>
        <v>-6.129211918685603E-2</v>
      </c>
    </row>
    <row r="38" spans="1:19">
      <c r="A38" s="1"/>
      <c r="B38">
        <v>-1.25</v>
      </c>
      <c r="C38">
        <v>-0.28810000000000002</v>
      </c>
      <c r="D38">
        <v>2.8580000000000001E-2</v>
      </c>
      <c r="E38">
        <f t="shared" si="0"/>
        <v>-9.9201666088163831E-2</v>
      </c>
      <c r="P38">
        <v>-3.5</v>
      </c>
      <c r="Q38">
        <v>-0.31480000000000002</v>
      </c>
      <c r="R38">
        <v>2.1739999999999999E-2</v>
      </c>
      <c r="S38">
        <f t="shared" si="1"/>
        <v>-6.9059720457433277E-2</v>
      </c>
    </row>
    <row r="39" spans="1:19">
      <c r="A39" s="1"/>
      <c r="B39">
        <v>-1</v>
      </c>
      <c r="C39">
        <v>-0.129</v>
      </c>
      <c r="D39">
        <v>3.1329999999999997E-2</v>
      </c>
      <c r="E39">
        <f t="shared" si="0"/>
        <v>-0.24286821705426354</v>
      </c>
      <c r="P39">
        <v>-3.25</v>
      </c>
      <c r="Q39">
        <v>-0.28010000000000002</v>
      </c>
      <c r="R39">
        <v>2.1409999999999998E-2</v>
      </c>
      <c r="S39">
        <f t="shared" si="1"/>
        <v>-7.6436986790431982E-2</v>
      </c>
    </row>
    <row r="40" spans="1:19">
      <c r="A40" s="1"/>
      <c r="B40">
        <v>-0.75</v>
      </c>
      <c r="C40">
        <v>-5.6399999999999999E-2</v>
      </c>
      <c r="D40">
        <v>3.1550000000000002E-2</v>
      </c>
      <c r="E40">
        <f t="shared" si="0"/>
        <v>-0.55939716312056742</v>
      </c>
      <c r="P40">
        <v>-3</v>
      </c>
      <c r="Q40">
        <v>-0.2369</v>
      </c>
      <c r="R40">
        <v>2.111E-2</v>
      </c>
      <c r="S40">
        <f t="shared" si="1"/>
        <v>-8.9109328830730264E-2</v>
      </c>
    </row>
    <row r="41" spans="1:19">
      <c r="A41" s="1"/>
      <c r="B41">
        <v>-0.5</v>
      </c>
      <c r="C41">
        <v>-2.9499999999999998E-2</v>
      </c>
      <c r="D41">
        <v>3.1570000000000001E-2</v>
      </c>
      <c r="E41">
        <f t="shared" si="0"/>
        <v>-1.0701694915254238</v>
      </c>
      <c r="P41">
        <v>-2.75</v>
      </c>
      <c r="Q41">
        <v>-0.20300000000000001</v>
      </c>
      <c r="R41">
        <v>2.0809999999999999E-2</v>
      </c>
      <c r="S41">
        <f t="shared" si="1"/>
        <v>-0.10251231527093595</v>
      </c>
    </row>
    <row r="42" spans="1:19">
      <c r="A42" s="1"/>
      <c r="B42">
        <v>-0.25</v>
      </c>
      <c r="C42">
        <v>1.2999999999999999E-3</v>
      </c>
      <c r="D42">
        <v>3.1910000000000001E-2</v>
      </c>
      <c r="E42">
        <f t="shared" si="0"/>
        <v>24.54615384615385</v>
      </c>
      <c r="P42">
        <v>-2.5</v>
      </c>
      <c r="Q42">
        <v>-0.16739999999999999</v>
      </c>
      <c r="R42">
        <v>2.0539999999999999E-2</v>
      </c>
      <c r="S42">
        <f t="shared" si="1"/>
        <v>-0.12270011947431303</v>
      </c>
    </row>
    <row r="43" spans="1:19">
      <c r="A43" s="1"/>
      <c r="B43">
        <v>0</v>
      </c>
      <c r="C43">
        <v>3.5400000000000001E-2</v>
      </c>
      <c r="D43">
        <v>3.2390000000000002E-2</v>
      </c>
      <c r="E43">
        <f t="shared" si="0"/>
        <v>0.91497175141242937</v>
      </c>
      <c r="P43">
        <v>-2.25</v>
      </c>
      <c r="Q43">
        <v>-0.12839999999999999</v>
      </c>
      <c r="R43">
        <v>2.0230000000000001E-2</v>
      </c>
      <c r="S43">
        <f t="shared" si="1"/>
        <v>-0.15755451713395641</v>
      </c>
    </row>
    <row r="44" spans="1:19">
      <c r="A44" s="1"/>
      <c r="B44">
        <v>0.25</v>
      </c>
      <c r="C44">
        <v>7.4200000000000002E-2</v>
      </c>
      <c r="D44">
        <v>3.295E-2</v>
      </c>
      <c r="E44">
        <f t="shared" si="0"/>
        <v>0.44407008086253369</v>
      </c>
      <c r="P44">
        <v>-2</v>
      </c>
      <c r="Q44">
        <v>-9.7600000000000006E-2</v>
      </c>
      <c r="R44">
        <v>2.0029999999999999E-2</v>
      </c>
      <c r="S44">
        <f t="shared" si="1"/>
        <v>-0.20522540983606555</v>
      </c>
    </row>
    <row r="45" spans="1:19">
      <c r="A45" s="1"/>
      <c r="B45">
        <v>0.5</v>
      </c>
      <c r="C45">
        <v>0.1101</v>
      </c>
      <c r="D45">
        <v>3.3480000000000003E-2</v>
      </c>
      <c r="E45">
        <f t="shared" si="0"/>
        <v>0.30408719346049046</v>
      </c>
      <c r="P45">
        <v>-1.75</v>
      </c>
      <c r="Q45">
        <v>-5.6000000000000001E-2</v>
      </c>
      <c r="R45">
        <v>1.9740000000000001E-2</v>
      </c>
      <c r="S45">
        <f t="shared" si="1"/>
        <v>-0.35249999999999998</v>
      </c>
    </row>
    <row r="46" spans="1:19">
      <c r="A46" s="1"/>
      <c r="B46">
        <v>0.75</v>
      </c>
      <c r="C46">
        <v>0.1351</v>
      </c>
      <c r="D46">
        <v>3.4040000000000001E-2</v>
      </c>
      <c r="E46">
        <f t="shared" si="0"/>
        <v>0.25196150999259809</v>
      </c>
      <c r="P46">
        <v>-1.5</v>
      </c>
      <c r="Q46">
        <v>-2.8000000000000001E-2</v>
      </c>
      <c r="R46">
        <v>1.967E-2</v>
      </c>
      <c r="S46">
        <f t="shared" si="1"/>
        <v>-0.70250000000000001</v>
      </c>
    </row>
    <row r="47" spans="1:19">
      <c r="A47" s="1"/>
      <c r="B47">
        <v>1</v>
      </c>
      <c r="C47">
        <v>0.16200000000000001</v>
      </c>
      <c r="D47">
        <v>3.465E-2</v>
      </c>
      <c r="E47">
        <f t="shared" si="0"/>
        <v>0.21388888888888888</v>
      </c>
      <c r="P47">
        <v>-1.25</v>
      </c>
      <c r="Q47">
        <v>1.3599999999999999E-2</v>
      </c>
      <c r="R47">
        <v>1.9480000000000001E-2</v>
      </c>
      <c r="S47">
        <f t="shared" si="1"/>
        <v>1.4323529411764708</v>
      </c>
    </row>
    <row r="48" spans="1:19">
      <c r="A48" s="1"/>
      <c r="B48">
        <v>1.25</v>
      </c>
      <c r="C48">
        <v>0.19270000000000001</v>
      </c>
      <c r="D48">
        <v>3.5270000000000003E-2</v>
      </c>
      <c r="E48">
        <f t="shared" si="0"/>
        <v>0.18303061754021796</v>
      </c>
      <c r="P48">
        <v>-1</v>
      </c>
      <c r="Q48">
        <v>4.3299999999999998E-2</v>
      </c>
      <c r="R48">
        <v>1.9550000000000001E-2</v>
      </c>
      <c r="S48">
        <f t="shared" si="1"/>
        <v>0.45150115473441116</v>
      </c>
    </row>
    <row r="49" spans="1:19">
      <c r="A49" s="1"/>
      <c r="B49">
        <v>1.5</v>
      </c>
      <c r="C49">
        <v>0.23710000000000001</v>
      </c>
      <c r="D49">
        <v>3.576E-2</v>
      </c>
      <c r="E49">
        <f t="shared" si="0"/>
        <v>0.15082243778996204</v>
      </c>
      <c r="P49">
        <v>-0.75</v>
      </c>
      <c r="Q49">
        <v>9.1600000000000001E-2</v>
      </c>
      <c r="R49">
        <v>1.9449999999999999E-2</v>
      </c>
      <c r="S49">
        <f t="shared" si="1"/>
        <v>0.2123362445414847</v>
      </c>
    </row>
    <row r="50" spans="1:19">
      <c r="A50" s="1"/>
      <c r="B50">
        <v>1.75</v>
      </c>
      <c r="C50">
        <v>0.26300000000000001</v>
      </c>
      <c r="D50">
        <v>3.637E-2</v>
      </c>
      <c r="E50">
        <f t="shared" si="0"/>
        <v>0.1382889733840304</v>
      </c>
      <c r="P50">
        <v>-0.5</v>
      </c>
      <c r="Q50">
        <v>0.1401</v>
      </c>
      <c r="R50">
        <v>1.9539999999999998E-2</v>
      </c>
      <c r="S50">
        <f t="shared" si="1"/>
        <v>0.13947180585296215</v>
      </c>
    </row>
    <row r="51" spans="1:19">
      <c r="A51" s="1"/>
      <c r="B51">
        <v>2</v>
      </c>
      <c r="C51">
        <v>0.2833</v>
      </c>
      <c r="D51">
        <v>3.7109999999999997E-2</v>
      </c>
      <c r="E51">
        <f t="shared" si="0"/>
        <v>0.13099188139781151</v>
      </c>
      <c r="P51">
        <v>-0.25</v>
      </c>
      <c r="Q51">
        <v>0.20430000000000001</v>
      </c>
      <c r="R51">
        <v>1.9380000000000001E-2</v>
      </c>
      <c r="S51">
        <f t="shared" si="1"/>
        <v>9.4860499265785617E-2</v>
      </c>
    </row>
    <row r="52" spans="1:19">
      <c r="A52" s="1"/>
      <c r="B52">
        <v>2.25</v>
      </c>
      <c r="C52">
        <v>0.3095</v>
      </c>
      <c r="D52">
        <v>3.78E-2</v>
      </c>
      <c r="E52">
        <f t="shared" si="0"/>
        <v>0.12213247172859451</v>
      </c>
      <c r="P52">
        <v>0</v>
      </c>
      <c r="Q52">
        <v>0.27510000000000001</v>
      </c>
      <c r="R52">
        <v>1.9179999999999999E-2</v>
      </c>
      <c r="S52">
        <f t="shared" si="1"/>
        <v>6.9720101781170482E-2</v>
      </c>
    </row>
    <row r="53" spans="1:19">
      <c r="A53" s="1"/>
      <c r="B53">
        <v>2.5</v>
      </c>
      <c r="C53">
        <v>0.35670000000000002</v>
      </c>
      <c r="D53">
        <v>3.805E-2</v>
      </c>
      <c r="E53">
        <f t="shared" si="0"/>
        <v>0.10667227361928791</v>
      </c>
      <c r="P53">
        <v>0.25</v>
      </c>
      <c r="Q53">
        <v>0.34499999999999997</v>
      </c>
      <c r="R53">
        <v>1.8800000000000001E-2</v>
      </c>
      <c r="S53">
        <f t="shared" si="1"/>
        <v>5.4492753623188415E-2</v>
      </c>
    </row>
    <row r="54" spans="1:19">
      <c r="A54" s="1"/>
      <c r="B54">
        <v>2.75</v>
      </c>
      <c r="C54">
        <v>0.37880000000000003</v>
      </c>
      <c r="D54">
        <v>3.875E-2</v>
      </c>
      <c r="E54">
        <f t="shared" si="0"/>
        <v>0.10229672650475184</v>
      </c>
      <c r="P54">
        <v>0.5</v>
      </c>
      <c r="Q54">
        <v>0.41039999999999999</v>
      </c>
      <c r="R54">
        <v>1.8429999999999998E-2</v>
      </c>
      <c r="S54">
        <f t="shared" si="1"/>
        <v>4.4907407407407403E-2</v>
      </c>
    </row>
    <row r="55" spans="1:19">
      <c r="A55" s="1"/>
      <c r="B55">
        <v>3</v>
      </c>
      <c r="C55">
        <v>0.39500000000000002</v>
      </c>
      <c r="D55">
        <v>3.968E-2</v>
      </c>
      <c r="E55">
        <f t="shared" si="0"/>
        <v>0.10045569620253164</v>
      </c>
      <c r="P55">
        <v>0.75</v>
      </c>
      <c r="Q55">
        <v>0.47570000000000001</v>
      </c>
      <c r="R55">
        <v>1.7899999999999999E-2</v>
      </c>
      <c r="S55">
        <f t="shared" si="1"/>
        <v>3.7628757620348958E-2</v>
      </c>
    </row>
    <row r="56" spans="1:19">
      <c r="A56" s="1"/>
      <c r="B56">
        <v>3.25</v>
      </c>
      <c r="C56">
        <v>0.41980000000000001</v>
      </c>
      <c r="D56">
        <v>4.0410000000000001E-2</v>
      </c>
      <c r="E56">
        <f t="shared" si="0"/>
        <v>9.626012386850881E-2</v>
      </c>
      <c r="P56">
        <v>1</v>
      </c>
      <c r="Q56">
        <v>0.49859999999999999</v>
      </c>
      <c r="R56">
        <v>1.7600000000000001E-2</v>
      </c>
      <c r="S56">
        <f t="shared" si="1"/>
        <v>3.529883674288007E-2</v>
      </c>
    </row>
    <row r="57" spans="1:19">
      <c r="A57" s="1"/>
      <c r="B57">
        <v>3.5</v>
      </c>
      <c r="C57">
        <v>0.48270000000000002</v>
      </c>
      <c r="D57">
        <v>3.9809999999999998E-2</v>
      </c>
      <c r="E57">
        <f t="shared" si="0"/>
        <v>8.2473586078309499E-2</v>
      </c>
      <c r="P57">
        <v>1.25</v>
      </c>
      <c r="Q57">
        <v>0.51629999999999998</v>
      </c>
      <c r="R57">
        <v>1.7500000000000002E-2</v>
      </c>
      <c r="S57">
        <f t="shared" si="1"/>
        <v>3.3895022273871783E-2</v>
      </c>
    </row>
    <row r="58" spans="1:19">
      <c r="A58" s="1"/>
      <c r="B58">
        <v>3.75</v>
      </c>
      <c r="C58">
        <v>0.4894</v>
      </c>
      <c r="D58">
        <v>4.1059999999999999E-2</v>
      </c>
      <c r="E58">
        <f t="shared" si="0"/>
        <v>8.3898651409889655E-2</v>
      </c>
      <c r="P58">
        <v>1.5</v>
      </c>
      <c r="Q58">
        <v>0.53490000000000004</v>
      </c>
      <c r="R58">
        <v>1.745E-2</v>
      </c>
      <c r="S58">
        <f t="shared" si="1"/>
        <v>3.2622920171994765E-2</v>
      </c>
    </row>
    <row r="59" spans="1:19">
      <c r="A59" s="1"/>
      <c r="B59">
        <v>4</v>
      </c>
      <c r="C59">
        <v>0.50229999999999997</v>
      </c>
      <c r="D59">
        <v>4.2189999999999998E-2</v>
      </c>
      <c r="E59">
        <f t="shared" si="0"/>
        <v>8.3993629305196105E-2</v>
      </c>
      <c r="P59">
        <v>1.75</v>
      </c>
      <c r="Q59">
        <v>0.5544</v>
      </c>
      <c r="R59">
        <v>1.7420000000000001E-2</v>
      </c>
      <c r="S59">
        <f t="shared" si="1"/>
        <v>3.1421356421356426E-2</v>
      </c>
    </row>
    <row r="60" spans="1:19">
      <c r="A60" s="1"/>
      <c r="B60">
        <v>4.25</v>
      </c>
      <c r="C60">
        <v>0.52490000000000003</v>
      </c>
      <c r="D60">
        <v>4.2970000000000001E-2</v>
      </c>
      <c r="E60">
        <f t="shared" si="0"/>
        <v>8.1863212040388642E-2</v>
      </c>
      <c r="P60">
        <v>2</v>
      </c>
      <c r="Q60">
        <v>0.57609999999999995</v>
      </c>
      <c r="R60">
        <v>1.736E-2</v>
      </c>
      <c r="S60">
        <f t="shared" si="1"/>
        <v>3.0133657351154319E-2</v>
      </c>
    </row>
    <row r="61" spans="1:19">
      <c r="A61" s="1"/>
      <c r="B61">
        <v>4.5</v>
      </c>
      <c r="C61">
        <v>0.5958</v>
      </c>
      <c r="D61">
        <v>4.1279999999999997E-2</v>
      </c>
      <c r="E61">
        <f t="shared" si="0"/>
        <v>6.9284994964753266E-2</v>
      </c>
      <c r="P61">
        <v>2.25</v>
      </c>
      <c r="Q61">
        <v>0.59709999999999996</v>
      </c>
      <c r="R61">
        <v>1.737E-2</v>
      </c>
      <c r="S61">
        <f t="shared" si="1"/>
        <v>2.9090604588846092E-2</v>
      </c>
    </row>
    <row r="62" spans="1:19">
      <c r="A62" s="1"/>
      <c r="B62">
        <v>4.75</v>
      </c>
      <c r="C62">
        <v>0.60499999999999998</v>
      </c>
      <c r="D62">
        <v>4.258E-2</v>
      </c>
      <c r="E62">
        <f t="shared" si="0"/>
        <v>7.0380165289256197E-2</v>
      </c>
      <c r="P62">
        <v>2.5</v>
      </c>
      <c r="Q62">
        <v>0.6159</v>
      </c>
      <c r="R62">
        <v>1.7500000000000002E-2</v>
      </c>
      <c r="S62">
        <f t="shared" si="1"/>
        <v>2.8413703523299239E-2</v>
      </c>
    </row>
    <row r="63" spans="1:19">
      <c r="A63" s="1"/>
      <c r="B63">
        <v>5</v>
      </c>
      <c r="C63">
        <v>0.61670000000000003</v>
      </c>
      <c r="D63">
        <v>4.3790000000000003E-2</v>
      </c>
      <c r="E63">
        <f t="shared" si="0"/>
        <v>7.1006972596075885E-2</v>
      </c>
      <c r="P63">
        <v>2.75</v>
      </c>
      <c r="Q63">
        <v>0.63619999999999999</v>
      </c>
      <c r="R63">
        <v>1.763E-2</v>
      </c>
      <c r="S63">
        <f t="shared" si="1"/>
        <v>2.771141150581578E-2</v>
      </c>
    </row>
    <row r="64" spans="1:19">
      <c r="A64" s="1"/>
      <c r="B64">
        <v>5.25</v>
      </c>
      <c r="C64">
        <v>0.63439999999999996</v>
      </c>
      <c r="D64">
        <v>4.4690000000000001E-2</v>
      </c>
      <c r="E64">
        <f t="shared" si="0"/>
        <v>7.0444514501891556E-2</v>
      </c>
      <c r="P64">
        <v>3</v>
      </c>
      <c r="Q64">
        <v>0.65880000000000005</v>
      </c>
      <c r="R64">
        <v>1.771E-2</v>
      </c>
      <c r="S64">
        <f t="shared" si="1"/>
        <v>2.6882210078931389E-2</v>
      </c>
    </row>
    <row r="65" spans="1:19">
      <c r="A65" s="1"/>
      <c r="B65">
        <v>5.5</v>
      </c>
      <c r="C65">
        <v>0.67210000000000003</v>
      </c>
      <c r="D65">
        <v>4.4359999999999997E-2</v>
      </c>
      <c r="E65">
        <f t="shared" si="0"/>
        <v>6.6002083023359609E-2</v>
      </c>
      <c r="P65">
        <v>3.25</v>
      </c>
      <c r="Q65">
        <v>0.68079999999999996</v>
      </c>
      <c r="R65">
        <v>1.7819999999999999E-2</v>
      </c>
      <c r="S65">
        <f t="shared" si="1"/>
        <v>2.6175088131609871E-2</v>
      </c>
    </row>
    <row r="66" spans="1:19">
      <c r="A66" s="1"/>
      <c r="B66">
        <v>5.75</v>
      </c>
      <c r="C66">
        <v>0.73560000000000003</v>
      </c>
      <c r="D66">
        <v>4.215E-2</v>
      </c>
      <c r="E66">
        <f t="shared" si="0"/>
        <v>5.7300163132137032E-2</v>
      </c>
      <c r="P66">
        <v>3.5</v>
      </c>
      <c r="Q66">
        <v>0.7</v>
      </c>
      <c r="R66">
        <v>1.804E-2</v>
      </c>
      <c r="S66">
        <f t="shared" si="1"/>
        <v>2.5771428571428574E-2</v>
      </c>
    </row>
    <row r="67" spans="1:19">
      <c r="A67" s="1"/>
      <c r="B67">
        <v>6</v>
      </c>
      <c r="C67">
        <v>0.75009999999999999</v>
      </c>
      <c r="D67">
        <v>4.308E-2</v>
      </c>
      <c r="E67">
        <f t="shared" si="0"/>
        <v>5.7432342354352753E-2</v>
      </c>
      <c r="P67">
        <v>3.75</v>
      </c>
      <c r="Q67">
        <v>0.72099999999999997</v>
      </c>
      <c r="R67">
        <v>1.8239999999999999E-2</v>
      </c>
      <c r="S67">
        <f t="shared" si="1"/>
        <v>2.5298196948682385E-2</v>
      </c>
    </row>
    <row r="68" spans="1:19">
      <c r="A68" s="1"/>
      <c r="B68">
        <v>6.25</v>
      </c>
      <c r="C68">
        <v>0.76759999999999995</v>
      </c>
      <c r="D68">
        <v>4.3830000000000001E-2</v>
      </c>
      <c r="E68">
        <f t="shared" si="0"/>
        <v>5.7100052110474211E-2</v>
      </c>
      <c r="P68">
        <v>4</v>
      </c>
      <c r="Q68">
        <v>0.74409999999999998</v>
      </c>
      <c r="R68">
        <v>1.84E-2</v>
      </c>
      <c r="S68">
        <f t="shared" si="1"/>
        <v>2.4727859158715226E-2</v>
      </c>
    </row>
    <row r="69" spans="1:19">
      <c r="A69" s="1"/>
      <c r="B69">
        <v>6.5</v>
      </c>
      <c r="C69">
        <v>0.79100000000000004</v>
      </c>
      <c r="D69">
        <v>4.4139999999999999E-2</v>
      </c>
      <c r="E69">
        <f t="shared" si="0"/>
        <v>5.5802781289506949E-2</v>
      </c>
      <c r="P69">
        <v>4.25</v>
      </c>
      <c r="Q69">
        <v>0.76690000000000003</v>
      </c>
      <c r="R69">
        <v>1.857E-2</v>
      </c>
      <c r="S69">
        <f t="shared" si="1"/>
        <v>2.4214369539705304E-2</v>
      </c>
    </row>
    <row r="70" spans="1:19">
      <c r="A70" s="1"/>
      <c r="B70">
        <v>6.75</v>
      </c>
      <c r="C70">
        <v>0.82120000000000004</v>
      </c>
      <c r="D70">
        <v>4.3909999999999998E-2</v>
      </c>
      <c r="E70">
        <f t="shared" ref="E70:E90" si="2">D70/C70</f>
        <v>5.347053093034583E-2</v>
      </c>
      <c r="P70">
        <v>4.5</v>
      </c>
      <c r="Q70">
        <v>0.78639999999999999</v>
      </c>
      <c r="R70">
        <v>1.883E-2</v>
      </c>
      <c r="S70">
        <f t="shared" ref="S70:S118" si="3">R70/Q70</f>
        <v>2.3944557477110884E-2</v>
      </c>
    </row>
    <row r="71" spans="1:19">
      <c r="A71" s="1"/>
      <c r="B71">
        <v>7</v>
      </c>
      <c r="C71">
        <v>0.85589999999999999</v>
      </c>
      <c r="D71">
        <v>4.3299999999999998E-2</v>
      </c>
      <c r="E71">
        <f t="shared" si="2"/>
        <v>5.0590022198855007E-2</v>
      </c>
      <c r="P71">
        <v>4.75</v>
      </c>
      <c r="Q71">
        <v>0.80720000000000003</v>
      </c>
      <c r="R71">
        <v>1.9089999999999999E-2</v>
      </c>
      <c r="S71">
        <f t="shared" si="3"/>
        <v>2.3649653121902873E-2</v>
      </c>
    </row>
    <row r="72" spans="1:19">
      <c r="A72" s="1"/>
      <c r="B72">
        <v>7.25</v>
      </c>
      <c r="C72">
        <v>0.8911</v>
      </c>
      <c r="D72">
        <v>4.2619999999999998E-2</v>
      </c>
      <c r="E72">
        <f t="shared" si="2"/>
        <v>4.7828526540231175E-2</v>
      </c>
      <c r="P72">
        <v>5</v>
      </c>
      <c r="Q72">
        <v>0.82920000000000005</v>
      </c>
      <c r="R72">
        <v>1.932E-2</v>
      </c>
      <c r="S72">
        <f t="shared" si="3"/>
        <v>2.3299565846599132E-2</v>
      </c>
    </row>
    <row r="73" spans="1:19">
      <c r="A73" s="1"/>
      <c r="B73">
        <v>7.5</v>
      </c>
      <c r="C73">
        <v>0.92510000000000003</v>
      </c>
      <c r="D73">
        <v>4.2000000000000003E-2</v>
      </c>
      <c r="E73">
        <f t="shared" si="2"/>
        <v>4.5400497243541241E-2</v>
      </c>
      <c r="P73">
        <v>5.25</v>
      </c>
      <c r="Q73">
        <v>0.85240000000000005</v>
      </c>
      <c r="R73">
        <v>1.9519999999999999E-2</v>
      </c>
      <c r="S73">
        <f t="shared" si="3"/>
        <v>2.2900046926325666E-2</v>
      </c>
    </row>
    <row r="74" spans="1:19">
      <c r="A74" s="1"/>
      <c r="B74">
        <v>7.75</v>
      </c>
      <c r="C74">
        <v>0.95840000000000003</v>
      </c>
      <c r="D74">
        <v>4.1430000000000002E-2</v>
      </c>
      <c r="E74">
        <f t="shared" si="2"/>
        <v>4.322829716193656E-2</v>
      </c>
      <c r="P74">
        <v>5.5</v>
      </c>
      <c r="Q74">
        <v>0.87409999999999999</v>
      </c>
      <c r="R74">
        <v>1.975E-2</v>
      </c>
      <c r="S74">
        <f t="shared" si="3"/>
        <v>2.2594668802196547E-2</v>
      </c>
    </row>
    <row r="75" spans="1:19">
      <c r="A75" s="1"/>
      <c r="B75">
        <v>8</v>
      </c>
      <c r="C75">
        <v>0.9929</v>
      </c>
      <c r="D75">
        <v>4.079E-2</v>
      </c>
      <c r="E75">
        <f t="shared" si="2"/>
        <v>4.1081679927485147E-2</v>
      </c>
      <c r="P75">
        <v>5.75</v>
      </c>
      <c r="Q75">
        <v>0.89370000000000005</v>
      </c>
      <c r="R75">
        <v>2.0029999999999999E-2</v>
      </c>
      <c r="S75">
        <f t="shared" si="3"/>
        <v>2.2412442654134494E-2</v>
      </c>
    </row>
    <row r="76" spans="1:19">
      <c r="A76" s="1"/>
      <c r="B76">
        <v>8.25</v>
      </c>
      <c r="C76">
        <v>1.0337000000000001</v>
      </c>
      <c r="D76">
        <v>3.9789999999999999E-2</v>
      </c>
      <c r="E76">
        <f t="shared" si="2"/>
        <v>3.8492792879945822E-2</v>
      </c>
      <c r="P76">
        <v>6</v>
      </c>
      <c r="Q76">
        <v>0.91379999999999995</v>
      </c>
      <c r="R76">
        <v>2.0310000000000002E-2</v>
      </c>
      <c r="S76">
        <f t="shared" si="3"/>
        <v>2.2225869993434014E-2</v>
      </c>
    </row>
    <row r="77" spans="1:19">
      <c r="A77" s="1"/>
      <c r="B77">
        <v>8.5</v>
      </c>
      <c r="C77">
        <v>1.0527</v>
      </c>
      <c r="D77">
        <v>4.0239999999999998E-2</v>
      </c>
      <c r="E77">
        <f t="shared" si="2"/>
        <v>3.82255153415028E-2</v>
      </c>
      <c r="P77">
        <v>6.25</v>
      </c>
      <c r="Q77">
        <v>0.93410000000000004</v>
      </c>
      <c r="R77">
        <v>2.0590000000000001E-2</v>
      </c>
      <c r="S77">
        <f t="shared" si="3"/>
        <v>2.2042607857831065E-2</v>
      </c>
    </row>
    <row r="78" spans="1:19">
      <c r="A78" s="1"/>
      <c r="B78">
        <v>8.75</v>
      </c>
      <c r="C78">
        <v>1.0665</v>
      </c>
      <c r="D78">
        <v>4.1009999999999998E-2</v>
      </c>
      <c r="E78">
        <f t="shared" si="2"/>
        <v>3.8452883263009843E-2</v>
      </c>
      <c r="P78">
        <v>6.5</v>
      </c>
      <c r="Q78">
        <v>0.95450000000000002</v>
      </c>
      <c r="R78">
        <v>2.0879999999999999E-2</v>
      </c>
      <c r="S78">
        <f t="shared" si="3"/>
        <v>2.1875327396542691E-2</v>
      </c>
    </row>
    <row r="79" spans="1:19">
      <c r="A79" s="1"/>
      <c r="B79">
        <v>9</v>
      </c>
      <c r="C79">
        <v>1.0831</v>
      </c>
      <c r="D79">
        <v>4.1669999999999999E-2</v>
      </c>
      <c r="E79">
        <f t="shared" si="2"/>
        <v>3.8472901855784322E-2</v>
      </c>
      <c r="P79">
        <v>6.75</v>
      </c>
      <c r="Q79">
        <v>0.97450000000000003</v>
      </c>
      <c r="R79">
        <v>2.1170000000000001E-2</v>
      </c>
      <c r="S79">
        <f t="shared" si="3"/>
        <v>2.1723961005643919E-2</v>
      </c>
    </row>
    <row r="80" spans="1:19">
      <c r="A80" s="1"/>
      <c r="B80">
        <v>9.25</v>
      </c>
      <c r="C80">
        <v>1.1021000000000001</v>
      </c>
      <c r="D80">
        <v>4.2220000000000001E-2</v>
      </c>
      <c r="E80">
        <f t="shared" si="2"/>
        <v>3.8308683422556937E-2</v>
      </c>
      <c r="P80">
        <v>7</v>
      </c>
      <c r="Q80">
        <v>0.99409999999999998</v>
      </c>
      <c r="R80">
        <v>2.1479999999999999E-2</v>
      </c>
      <c r="S80">
        <f t="shared" si="3"/>
        <v>2.1607484156523488E-2</v>
      </c>
    </row>
    <row r="81" spans="1:19">
      <c r="A81" s="1"/>
      <c r="B81">
        <v>9.5</v>
      </c>
      <c r="C81">
        <v>1.123</v>
      </c>
      <c r="D81">
        <v>4.2770000000000002E-2</v>
      </c>
      <c r="E81">
        <f t="shared" si="2"/>
        <v>3.8085485307212827E-2</v>
      </c>
      <c r="P81">
        <v>7.25</v>
      </c>
      <c r="Q81">
        <v>1.0129999999999999</v>
      </c>
      <c r="R81">
        <v>2.179E-2</v>
      </c>
      <c r="S81">
        <f t="shared" si="3"/>
        <v>2.1510365251727545E-2</v>
      </c>
    </row>
    <row r="82" spans="1:19">
      <c r="A82" s="1"/>
      <c r="B82">
        <v>9.75</v>
      </c>
      <c r="C82">
        <v>1.1420999999999999</v>
      </c>
      <c r="D82">
        <v>4.3589999999999997E-2</v>
      </c>
      <c r="E82">
        <f t="shared" si="2"/>
        <v>3.8166535329655901E-2</v>
      </c>
      <c r="P82">
        <v>7.5</v>
      </c>
      <c r="Q82">
        <v>1.0310999999999999</v>
      </c>
      <c r="R82">
        <v>2.213E-2</v>
      </c>
      <c r="S82">
        <f t="shared" si="3"/>
        <v>2.1462515759868104E-2</v>
      </c>
    </row>
    <row r="83" spans="1:19">
      <c r="A83" s="1"/>
      <c r="B83">
        <v>10</v>
      </c>
      <c r="C83">
        <v>1.1539999999999999</v>
      </c>
      <c r="D83">
        <v>4.4949999999999997E-2</v>
      </c>
      <c r="E83">
        <f t="shared" si="2"/>
        <v>3.8951473136915077E-2</v>
      </c>
      <c r="P83">
        <v>7.75</v>
      </c>
      <c r="Q83">
        <v>1.0484</v>
      </c>
      <c r="R83">
        <v>2.2509999999999999E-2</v>
      </c>
      <c r="S83">
        <f t="shared" si="3"/>
        <v>2.1470812666921021E-2</v>
      </c>
    </row>
    <row r="84" spans="1:19">
      <c r="A84" s="1"/>
      <c r="B84">
        <v>10.25</v>
      </c>
      <c r="C84">
        <v>1.1604000000000001</v>
      </c>
      <c r="D84">
        <v>4.6739999999999997E-2</v>
      </c>
      <c r="E84">
        <f t="shared" si="2"/>
        <v>4.0279214064115818E-2</v>
      </c>
      <c r="P84">
        <v>8</v>
      </c>
      <c r="Q84">
        <v>1.0649</v>
      </c>
      <c r="R84">
        <v>2.2919999999999999E-2</v>
      </c>
      <c r="S84">
        <f t="shared" si="3"/>
        <v>2.1523147713400321E-2</v>
      </c>
    </row>
    <row r="85" spans="1:19">
      <c r="A85" s="1"/>
      <c r="B85">
        <v>10.5</v>
      </c>
      <c r="C85">
        <v>1.1700999999999999</v>
      </c>
      <c r="D85">
        <v>4.8500000000000001E-2</v>
      </c>
      <c r="E85">
        <f t="shared" si="2"/>
        <v>4.1449448765062819E-2</v>
      </c>
      <c r="P85">
        <v>8.25</v>
      </c>
      <c r="Q85">
        <v>1.0807</v>
      </c>
      <c r="R85">
        <v>2.341E-2</v>
      </c>
      <c r="S85">
        <f t="shared" si="3"/>
        <v>2.1661885814749701E-2</v>
      </c>
    </row>
    <row r="86" spans="1:19">
      <c r="A86" s="1"/>
      <c r="B86">
        <v>10.75</v>
      </c>
      <c r="C86">
        <v>1.1861999999999999</v>
      </c>
      <c r="D86">
        <v>5.0020000000000002E-2</v>
      </c>
      <c r="E86">
        <f t="shared" si="2"/>
        <v>4.2168268420165238E-2</v>
      </c>
      <c r="P86">
        <v>8.5</v>
      </c>
      <c r="Q86">
        <v>1.0960000000000001</v>
      </c>
      <c r="R86">
        <v>2.3980000000000001E-2</v>
      </c>
      <c r="S86">
        <f t="shared" si="3"/>
        <v>2.1879562043795622E-2</v>
      </c>
    </row>
    <row r="87" spans="1:19">
      <c r="A87" s="1"/>
      <c r="B87">
        <v>11</v>
      </c>
      <c r="C87">
        <v>1.2115</v>
      </c>
      <c r="D87">
        <v>5.1330000000000001E-2</v>
      </c>
      <c r="E87">
        <f t="shared" si="2"/>
        <v>4.2368964094098224E-2</v>
      </c>
      <c r="P87">
        <v>8.75</v>
      </c>
      <c r="Q87">
        <v>1.1093</v>
      </c>
      <c r="R87">
        <v>2.4649999999999998E-2</v>
      </c>
      <c r="S87">
        <f t="shared" si="3"/>
        <v>2.2221220589560983E-2</v>
      </c>
    </row>
    <row r="88" spans="1:19">
      <c r="A88" s="1"/>
      <c r="B88">
        <v>11.25</v>
      </c>
      <c r="C88">
        <v>1.1836</v>
      </c>
      <c r="D88">
        <v>5.4989999999999997E-2</v>
      </c>
      <c r="E88">
        <f t="shared" si="2"/>
        <v>4.6459952686718486E-2</v>
      </c>
      <c r="P88">
        <v>9</v>
      </c>
      <c r="Q88">
        <v>1.1214999999999999</v>
      </c>
      <c r="R88">
        <v>2.5389999999999999E-2</v>
      </c>
      <c r="S88">
        <f t="shared" si="3"/>
        <v>2.2639322336156932E-2</v>
      </c>
    </row>
    <row r="89" spans="1:19">
      <c r="A89" s="1"/>
      <c r="B89">
        <v>11.5</v>
      </c>
      <c r="C89">
        <v>0.92279999999999995</v>
      </c>
      <c r="D89">
        <v>8.2970000000000002E-2</v>
      </c>
      <c r="E89">
        <f t="shared" si="2"/>
        <v>8.9911140008669274E-2</v>
      </c>
      <c r="P89">
        <v>9.25</v>
      </c>
      <c r="Q89">
        <v>1.1333</v>
      </c>
      <c r="R89">
        <v>2.6210000000000001E-2</v>
      </c>
      <c r="S89">
        <f t="shared" si="3"/>
        <v>2.31271507985529E-2</v>
      </c>
    </row>
    <row r="90" spans="1:19">
      <c r="A90" s="1"/>
      <c r="B90">
        <v>11.75</v>
      </c>
      <c r="C90">
        <v>0.88649999999999995</v>
      </c>
      <c r="D90">
        <v>9.3340000000000006E-2</v>
      </c>
      <c r="E90">
        <f t="shared" si="2"/>
        <v>0.10529046813310775</v>
      </c>
      <c r="P90">
        <v>9.5</v>
      </c>
      <c r="Q90">
        <v>1.1446000000000001</v>
      </c>
      <c r="R90">
        <v>2.7109999999999999E-2</v>
      </c>
      <c r="S90">
        <f t="shared" si="3"/>
        <v>2.3685130176480863E-2</v>
      </c>
    </row>
    <row r="91" spans="1:19">
      <c r="A91" s="1"/>
      <c r="P91">
        <v>9.75</v>
      </c>
      <c r="Q91">
        <v>1.1555</v>
      </c>
      <c r="R91">
        <v>2.8080000000000001E-2</v>
      </c>
      <c r="S91">
        <f t="shared" si="3"/>
        <v>2.430116832540026E-2</v>
      </c>
    </row>
    <row r="92" spans="1:19">
      <c r="A92" s="1"/>
      <c r="P92">
        <v>10</v>
      </c>
      <c r="Q92">
        <v>1.1664000000000001</v>
      </c>
      <c r="R92">
        <v>2.912E-2</v>
      </c>
      <c r="S92">
        <f t="shared" si="3"/>
        <v>2.4965706447187926E-2</v>
      </c>
    </row>
    <row r="93" spans="1:19">
      <c r="P93">
        <v>10.25</v>
      </c>
      <c r="Q93">
        <v>1.1771</v>
      </c>
      <c r="R93">
        <v>3.0200000000000001E-2</v>
      </c>
      <c r="S93">
        <f t="shared" si="3"/>
        <v>2.5656273893466995E-2</v>
      </c>
    </row>
    <row r="94" spans="1:19">
      <c r="P94">
        <v>10.5</v>
      </c>
      <c r="Q94">
        <v>1.1872</v>
      </c>
      <c r="R94">
        <v>3.1289999999999998E-2</v>
      </c>
      <c r="S94">
        <f t="shared" si="3"/>
        <v>2.6356132075471696E-2</v>
      </c>
    </row>
    <row r="95" spans="1:19">
      <c r="P95">
        <v>10.75</v>
      </c>
      <c r="Q95">
        <v>1.1956</v>
      </c>
      <c r="R95">
        <v>3.2500000000000001E-2</v>
      </c>
      <c r="S95">
        <f t="shared" si="3"/>
        <v>2.7183004349280698E-2</v>
      </c>
    </row>
    <row r="96" spans="1:19">
      <c r="P96">
        <v>11</v>
      </c>
      <c r="Q96">
        <v>1.2077</v>
      </c>
      <c r="R96">
        <v>3.3820000000000003E-2</v>
      </c>
      <c r="S96">
        <f t="shared" si="3"/>
        <v>2.8003643288896252E-2</v>
      </c>
    </row>
    <row r="97" spans="16:19">
      <c r="P97">
        <v>11.25</v>
      </c>
      <c r="Q97">
        <v>1.2215</v>
      </c>
      <c r="R97">
        <v>3.5049999999999998E-2</v>
      </c>
      <c r="S97">
        <f t="shared" si="3"/>
        <v>2.8694228407695452E-2</v>
      </c>
    </row>
    <row r="98" spans="16:19">
      <c r="P98">
        <v>11.5</v>
      </c>
      <c r="Q98">
        <v>1.2295</v>
      </c>
      <c r="R98">
        <v>3.6519999999999997E-2</v>
      </c>
      <c r="S98">
        <f t="shared" si="3"/>
        <v>2.9703131354209024E-2</v>
      </c>
    </row>
    <row r="99" spans="16:19">
      <c r="P99">
        <v>11.75</v>
      </c>
      <c r="Q99">
        <v>1.2506999999999999</v>
      </c>
      <c r="R99">
        <v>3.7949999999999998E-2</v>
      </c>
      <c r="S99">
        <f t="shared" si="3"/>
        <v>3.0343007915567283E-2</v>
      </c>
    </row>
    <row r="100" spans="16:19">
      <c r="P100">
        <v>12</v>
      </c>
      <c r="Q100">
        <v>1.2531000000000001</v>
      </c>
      <c r="R100">
        <v>3.9480000000000001E-2</v>
      </c>
      <c r="S100">
        <f t="shared" si="3"/>
        <v>3.1505865453674883E-2</v>
      </c>
    </row>
    <row r="101" spans="16:19">
      <c r="P101">
        <v>12.25</v>
      </c>
      <c r="Q101">
        <v>1.2799</v>
      </c>
      <c r="R101">
        <v>4.0989999999999999E-2</v>
      </c>
      <c r="S101">
        <f t="shared" si="3"/>
        <v>3.2025939526525507E-2</v>
      </c>
    </row>
    <row r="102" spans="16:19">
      <c r="P102">
        <v>12.5</v>
      </c>
      <c r="Q102">
        <v>1.2781</v>
      </c>
      <c r="R102">
        <v>4.2729999999999997E-2</v>
      </c>
      <c r="S102">
        <f t="shared" si="3"/>
        <v>3.3432438776308582E-2</v>
      </c>
    </row>
    <row r="103" spans="16:19">
      <c r="P103">
        <v>12.75</v>
      </c>
      <c r="Q103">
        <v>1.2876000000000001</v>
      </c>
      <c r="R103">
        <v>4.4299999999999999E-2</v>
      </c>
      <c r="S103">
        <f t="shared" si="3"/>
        <v>3.4405094749922337E-2</v>
      </c>
    </row>
    <row r="104" spans="16:19">
      <c r="P104">
        <v>13</v>
      </c>
      <c r="Q104">
        <v>1.3071999999999999</v>
      </c>
      <c r="R104">
        <v>4.6149999999999997E-2</v>
      </c>
      <c r="S104">
        <f t="shared" si="3"/>
        <v>3.5304467564259485E-2</v>
      </c>
    </row>
    <row r="105" spans="16:19">
      <c r="P105">
        <v>13.25</v>
      </c>
      <c r="Q105">
        <v>1.3048999999999999</v>
      </c>
      <c r="R105">
        <v>4.8259999999999997E-2</v>
      </c>
      <c r="S105">
        <f t="shared" si="3"/>
        <v>3.6983676910108051E-2</v>
      </c>
    </row>
    <row r="106" spans="16:19">
      <c r="P106">
        <v>13.5</v>
      </c>
      <c r="Q106">
        <v>1.3095000000000001</v>
      </c>
      <c r="R106">
        <v>5.0169999999999999E-2</v>
      </c>
      <c r="S106">
        <f t="shared" si="3"/>
        <v>3.8312332951508203E-2</v>
      </c>
    </row>
    <row r="107" spans="16:19">
      <c r="P107">
        <v>13.75</v>
      </c>
      <c r="Q107">
        <v>1.3345</v>
      </c>
      <c r="R107">
        <v>5.2060000000000002E-2</v>
      </c>
      <c r="S107">
        <f t="shared" si="3"/>
        <v>3.9010865492693891E-2</v>
      </c>
    </row>
    <row r="108" spans="16:19">
      <c r="P108">
        <v>14</v>
      </c>
      <c r="Q108">
        <v>1.3213999999999999</v>
      </c>
      <c r="R108">
        <v>5.4769999999999999E-2</v>
      </c>
      <c r="S108">
        <f t="shared" si="3"/>
        <v>4.1448463750567585E-2</v>
      </c>
    </row>
    <row r="109" spans="16:19">
      <c r="P109">
        <v>14.25</v>
      </c>
      <c r="Q109">
        <v>1.3119000000000001</v>
      </c>
      <c r="R109">
        <v>5.7669999999999999E-2</v>
      </c>
      <c r="S109">
        <f t="shared" si="3"/>
        <v>4.3959143227380135E-2</v>
      </c>
    </row>
    <row r="110" spans="16:19">
      <c r="P110">
        <v>14.5</v>
      </c>
      <c r="Q110">
        <v>1.3078000000000001</v>
      </c>
      <c r="R110">
        <v>6.0409999999999998E-2</v>
      </c>
      <c r="S110">
        <f t="shared" si="3"/>
        <v>4.6192078299434162E-2</v>
      </c>
    </row>
    <row r="111" spans="16:19">
      <c r="P111">
        <v>14.75</v>
      </c>
      <c r="Q111">
        <v>1.3125</v>
      </c>
      <c r="R111">
        <v>6.2670000000000003E-2</v>
      </c>
      <c r="S111">
        <f t="shared" si="3"/>
        <v>4.7748571428571432E-2</v>
      </c>
    </row>
    <row r="112" spans="16:19">
      <c r="P112">
        <v>15</v>
      </c>
      <c r="Q112">
        <v>1.3231999999999999</v>
      </c>
      <c r="R112">
        <v>6.5369999999999998E-2</v>
      </c>
      <c r="S112">
        <f t="shared" si="3"/>
        <v>4.9402962515114876E-2</v>
      </c>
    </row>
    <row r="113" spans="16:19">
      <c r="P113">
        <v>15.25</v>
      </c>
      <c r="Q113">
        <v>1.2974000000000001</v>
      </c>
      <c r="R113">
        <v>6.9739999999999996E-2</v>
      </c>
      <c r="S113">
        <f t="shared" si="3"/>
        <v>5.375366116849082E-2</v>
      </c>
    </row>
    <row r="114" spans="16:19">
      <c r="P114">
        <v>15.5</v>
      </c>
      <c r="Q114">
        <v>1.2692000000000001</v>
      </c>
      <c r="R114">
        <v>7.4859999999999996E-2</v>
      </c>
      <c r="S114">
        <f t="shared" si="3"/>
        <v>5.8982035928143703E-2</v>
      </c>
    </row>
    <row r="115" spans="16:19">
      <c r="P115">
        <v>15.75</v>
      </c>
      <c r="Q115">
        <v>1.2373000000000001</v>
      </c>
      <c r="R115">
        <v>8.0909999999999996E-2</v>
      </c>
      <c r="S115">
        <f t="shared" si="3"/>
        <v>6.5392386648347206E-2</v>
      </c>
    </row>
    <row r="116" spans="16:19">
      <c r="P116">
        <v>16</v>
      </c>
      <c r="Q116">
        <v>1.2004999999999999</v>
      </c>
      <c r="R116">
        <v>8.8190000000000004E-2</v>
      </c>
      <c r="S116">
        <f t="shared" si="3"/>
        <v>7.3461057892544784E-2</v>
      </c>
    </row>
    <row r="117" spans="16:19">
      <c r="P117">
        <v>16.25</v>
      </c>
      <c r="Q117">
        <v>1.1568000000000001</v>
      </c>
      <c r="R117">
        <v>9.7199999999999995E-2</v>
      </c>
      <c r="S117">
        <f t="shared" si="3"/>
        <v>8.4024896265560159E-2</v>
      </c>
    </row>
    <row r="118" spans="16:19">
      <c r="P118">
        <v>16.5</v>
      </c>
      <c r="Q118">
        <v>1.1059000000000001</v>
      </c>
      <c r="R118">
        <v>0.10868</v>
      </c>
      <c r="S118">
        <f t="shared" si="3"/>
        <v>9.8272899900533492E-2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AD828-A169-4B37-AC61-938345257EBD}">
  <sheetPr codeName="Sheet2"/>
  <dimension ref="A1:J59"/>
  <sheetViews>
    <sheetView topLeftCell="A4" zoomScale="55" zoomScaleNormal="55" workbookViewId="0">
      <selection activeCell="R35" sqref="R35"/>
    </sheetView>
  </sheetViews>
  <sheetFormatPr defaultColWidth="10.453125" defaultRowHeight="14.5"/>
  <sheetData>
    <row r="1" spans="1:3">
      <c r="A1" t="s">
        <v>76</v>
      </c>
    </row>
    <row r="2" spans="1:3">
      <c r="A2" t="s">
        <v>77</v>
      </c>
    </row>
    <row r="3" spans="1:3">
      <c r="A3" t="s">
        <v>78</v>
      </c>
    </row>
    <row r="4" spans="1:3">
      <c r="A4" t="s">
        <v>89</v>
      </c>
    </row>
    <row r="5" spans="1:3">
      <c r="A5" t="s">
        <v>79</v>
      </c>
    </row>
    <row r="8" spans="1:3" ht="16.5">
      <c r="A8" s="32" t="s">
        <v>84</v>
      </c>
      <c r="B8" s="32">
        <v>10</v>
      </c>
      <c r="C8" s="32" t="s">
        <v>17</v>
      </c>
    </row>
    <row r="9" spans="1:3">
      <c r="A9" s="32" t="s">
        <v>83</v>
      </c>
      <c r="B9" s="32">
        <v>5.24</v>
      </c>
      <c r="C9" s="32" t="s">
        <v>31</v>
      </c>
    </row>
    <row r="10" spans="1:3">
      <c r="A10" s="32" t="s">
        <v>23</v>
      </c>
      <c r="B10" s="32">
        <v>3</v>
      </c>
      <c r="C10" s="32" t="s">
        <v>31</v>
      </c>
    </row>
    <row r="11" spans="1:3">
      <c r="A11" s="32" t="s">
        <v>13</v>
      </c>
      <c r="B11" s="7">
        <f>1.506*0.00001</f>
        <v>1.5060000000000001E-5</v>
      </c>
      <c r="C11" s="32" t="s">
        <v>31</v>
      </c>
    </row>
    <row r="12" spans="1:3">
      <c r="A12" s="32" t="s">
        <v>8</v>
      </c>
      <c r="B12" s="32">
        <v>1.123</v>
      </c>
      <c r="C12" s="32" t="s">
        <v>31</v>
      </c>
    </row>
    <row r="13" spans="1:3">
      <c r="A13" s="32" t="s">
        <v>16</v>
      </c>
      <c r="B13" s="32">
        <v>9.5</v>
      </c>
      <c r="C13" s="44" t="s">
        <v>87</v>
      </c>
    </row>
    <row r="14" spans="1:3">
      <c r="A14" s="32" t="s">
        <v>85</v>
      </c>
      <c r="B14" s="32">
        <v>1.25</v>
      </c>
      <c r="C14" s="44" t="s">
        <v>88</v>
      </c>
    </row>
    <row r="15" spans="1:3">
      <c r="A15" s="32" t="s">
        <v>26</v>
      </c>
      <c r="B15" s="32">
        <f>A23-A22</f>
        <v>4.5000000000000012E-2</v>
      </c>
      <c r="C15" s="44" t="s">
        <v>41</v>
      </c>
    </row>
    <row r="16" spans="1:3">
      <c r="A16" s="32" t="s">
        <v>86</v>
      </c>
      <c r="B16" s="32">
        <v>0.5</v>
      </c>
      <c r="C16" s="44" t="s">
        <v>41</v>
      </c>
    </row>
    <row r="17" spans="1:10">
      <c r="A17" s="32" t="s">
        <v>18</v>
      </c>
      <c r="B17" s="32">
        <f>B9*B8/B16</f>
        <v>104.80000000000001</v>
      </c>
      <c r="C17" s="44" t="s">
        <v>19</v>
      </c>
    </row>
    <row r="19" spans="1:10">
      <c r="A19" t="s">
        <v>14</v>
      </c>
    </row>
    <row r="20" spans="1:10">
      <c r="A20" s="32" t="s">
        <v>4</v>
      </c>
      <c r="B20" s="32" t="s">
        <v>0</v>
      </c>
      <c r="C20" s="32" t="s">
        <v>1</v>
      </c>
      <c r="D20" s="32" t="s">
        <v>2</v>
      </c>
      <c r="E20" s="32" t="s">
        <v>3</v>
      </c>
      <c r="F20" s="32" t="s">
        <v>5</v>
      </c>
      <c r="G20" s="32" t="s">
        <v>11</v>
      </c>
      <c r="H20" s="32" t="s">
        <v>12</v>
      </c>
      <c r="I20" s="32" t="s">
        <v>6</v>
      </c>
      <c r="J20" s="32" t="s">
        <v>6</v>
      </c>
    </row>
    <row r="21" spans="1:10">
      <c r="A21" s="32">
        <f>0.5*B21</f>
        <v>7.2499999999999995E-2</v>
      </c>
      <c r="B21" s="32">
        <v>0.14499999999999999</v>
      </c>
      <c r="C21" s="34">
        <f>B21*$B$9</f>
        <v>0.75980000000000003</v>
      </c>
      <c r="D21" s="9">
        <f>ATAN(2/(3*C21))*180/PI()</f>
        <v>41.264487478565421</v>
      </c>
      <c r="E21" s="34">
        <f>8*PI()*A21*SIN(D21/180*PI())/(3*3*$B$12*C21)</f>
        <v>0.15649294063625627</v>
      </c>
      <c r="F21" s="9">
        <f>D21-$B$13</f>
        <v>31.764487478565421</v>
      </c>
      <c r="G21" s="9">
        <f>$B$8*(1-1/3)/SIN(D21/180*PI())</f>
        <v>10.108117947691573</v>
      </c>
      <c r="H21" s="32">
        <f>G21*E21/$B$11</f>
        <v>105036.46095168484</v>
      </c>
      <c r="I21" s="9">
        <f>3*$B$12/SIN(D21/180*PI())*2/9*$B$14*10^2*E21*$B$17*A21*$B$15</f>
        <v>7.5921822461753354</v>
      </c>
      <c r="J21" s="9">
        <f>I21</f>
        <v>7.5921822461753354</v>
      </c>
    </row>
    <row r="22" spans="1:10">
      <c r="A22" s="32">
        <f t="shared" ref="A22:A30" si="0">0.5*B22</f>
        <v>0.11749999999999999</v>
      </c>
      <c r="B22" s="32">
        <v>0.23499999999999999</v>
      </c>
      <c r="C22" s="34">
        <f>B22*$B$9</f>
        <v>1.2314000000000001</v>
      </c>
      <c r="D22" s="9">
        <f t="shared" ref="D22:D30" si="1">ATAN(2/(3*C22))*180/PI()</f>
        <v>28.43063605223411</v>
      </c>
      <c r="E22" s="34">
        <f t="shared" ref="E22:E30" si="2">8*PI()*A22*SIN(D22/180*PI())/(3*3*$B$12*C22)</f>
        <v>0.11296644601023169</v>
      </c>
      <c r="F22" s="9">
        <f t="shared" ref="F22:F30" si="3">D22-$B$13</f>
        <v>18.93063605223411</v>
      </c>
      <c r="G22" s="9">
        <f t="shared" ref="G22:G30" si="4">$B$8*(1-1/3)/SIN(D22/180*PI())</f>
        <v>14.002822588479958</v>
      </c>
      <c r="H22" s="32">
        <f>G22*E22/$B$11</f>
        <v>105036.46095168484</v>
      </c>
      <c r="I22" s="9">
        <f t="shared" ref="I22:I30" si="5">3*$B$12/SIN(D22/180*PI())*2/9*$B$14*10^2*E22*$B$17*A22*$B$15</f>
        <v>12.304571226560029</v>
      </c>
      <c r="J22" s="9">
        <f>J21+I22</f>
        <v>19.896753472735362</v>
      </c>
    </row>
    <row r="23" spans="1:10">
      <c r="A23" s="32">
        <f t="shared" si="0"/>
        <v>0.16250000000000001</v>
      </c>
      <c r="B23" s="32">
        <v>0.32500000000000001</v>
      </c>
      <c r="C23" s="34">
        <f>B23*$B$9</f>
        <v>1.7030000000000001</v>
      </c>
      <c r="D23" s="9">
        <f t="shared" si="1"/>
        <v>21.378655948810771</v>
      </c>
      <c r="E23" s="34">
        <f t="shared" si="2"/>
        <v>8.6494698612038651E-2</v>
      </c>
      <c r="F23" s="9">
        <f t="shared" si="3"/>
        <v>11.878655948810771</v>
      </c>
      <c r="G23" s="9">
        <f t="shared" si="4"/>
        <v>18.288393708700735</v>
      </c>
      <c r="H23" s="32">
        <f>G23*E23/$B$11</f>
        <v>105036.46095168484</v>
      </c>
      <c r="I23" s="9">
        <f t="shared" si="5"/>
        <v>17.016960206944717</v>
      </c>
      <c r="J23" s="9">
        <f t="shared" ref="J23:J30" si="6">J22+I23</f>
        <v>36.913713679680079</v>
      </c>
    </row>
    <row r="24" spans="1:10">
      <c r="A24" s="32">
        <f t="shared" si="0"/>
        <v>0.20749999999999999</v>
      </c>
      <c r="B24" s="32">
        <v>0.41499999999999998</v>
      </c>
      <c r="C24" s="34">
        <f>B24*$B$9</f>
        <v>2.1745999999999999</v>
      </c>
      <c r="D24" s="9">
        <f t="shared" si="1"/>
        <v>17.043957375909997</v>
      </c>
      <c r="E24" s="34">
        <f t="shared" si="2"/>
        <v>6.954725250935162E-2</v>
      </c>
      <c r="F24" s="9">
        <f t="shared" si="3"/>
        <v>7.5439573759099972</v>
      </c>
      <c r="G24" s="9">
        <f t="shared" si="4"/>
        <v>22.744954615132666</v>
      </c>
      <c r="H24" s="32">
        <f>G24*E24/$B$11</f>
        <v>105036.46095168486</v>
      </c>
      <c r="I24" s="9">
        <f t="shared" si="5"/>
        <v>21.729349187329408</v>
      </c>
      <c r="J24" s="9">
        <f t="shared" si="6"/>
        <v>58.64306286700949</v>
      </c>
    </row>
    <row r="25" spans="1:10">
      <c r="A25" s="32">
        <f t="shared" si="0"/>
        <v>0.2525</v>
      </c>
      <c r="B25" s="32">
        <v>0.505</v>
      </c>
      <c r="C25" s="34">
        <f>B25*$B$9</f>
        <v>2.6462000000000003</v>
      </c>
      <c r="D25" s="9">
        <f t="shared" si="1"/>
        <v>14.140465642872146</v>
      </c>
      <c r="E25" s="34">
        <f t="shared" si="2"/>
        <v>5.7966844092033801E-2</v>
      </c>
      <c r="F25" s="9">
        <f t="shared" si="3"/>
        <v>4.6404656428721456</v>
      </c>
      <c r="G25" s="9">
        <f t="shared" si="4"/>
        <v>27.288860152898376</v>
      </c>
      <c r="H25" s="32">
        <f>G25*E25/$B$11</f>
        <v>105036.46095168484</v>
      </c>
      <c r="I25" s="9">
        <f t="shared" si="5"/>
        <v>26.441738167714103</v>
      </c>
      <c r="J25" s="9">
        <f t="shared" si="6"/>
        <v>85.084801034723597</v>
      </c>
    </row>
    <row r="26" spans="1:10">
      <c r="A26" s="32">
        <f t="shared" si="0"/>
        <v>0.29749999999999999</v>
      </c>
      <c r="B26" s="32">
        <v>0.59499999999999997</v>
      </c>
      <c r="C26" s="34">
        <f>B26*$B$9</f>
        <v>3.1177999999999999</v>
      </c>
      <c r="D26" s="9">
        <f t="shared" si="1"/>
        <v>12.06957075973075</v>
      </c>
      <c r="E26" s="34">
        <f t="shared" si="2"/>
        <v>4.9614517236504826E-2</v>
      </c>
      <c r="F26" s="9">
        <f t="shared" si="3"/>
        <v>2.56957075973075</v>
      </c>
      <c r="G26" s="9">
        <f t="shared" si="4"/>
        <v>31.882787338067619</v>
      </c>
      <c r="H26" s="32">
        <f>G26*E26/$B$11</f>
        <v>105036.46095168483</v>
      </c>
      <c r="I26" s="9">
        <f t="shared" si="5"/>
        <v>31.154127148098784</v>
      </c>
      <c r="J26" s="9">
        <f t="shared" si="6"/>
        <v>116.23892818282238</v>
      </c>
    </row>
    <row r="27" spans="1:10">
      <c r="A27" s="32">
        <f t="shared" si="0"/>
        <v>0.34250000000000003</v>
      </c>
      <c r="B27" s="32">
        <v>0.68500000000000005</v>
      </c>
      <c r="C27" s="34">
        <f>B27*$B$9</f>
        <v>3.5894000000000004</v>
      </c>
      <c r="D27" s="9">
        <f t="shared" si="1"/>
        <v>10.521768911264633</v>
      </c>
      <c r="E27" s="34">
        <f t="shared" si="2"/>
        <v>4.3329003608316631E-2</v>
      </c>
      <c r="F27" s="9">
        <f t="shared" si="3"/>
        <v>1.0217689112646333</v>
      </c>
      <c r="G27" s="9">
        <f t="shared" si="4"/>
        <v>36.507857790405126</v>
      </c>
      <c r="H27" s="32">
        <f>G27*E27/$B$11</f>
        <v>105036.46095168486</v>
      </c>
      <c r="I27" s="9">
        <f t="shared" si="5"/>
        <v>35.866516128483489</v>
      </c>
      <c r="J27" s="9">
        <f t="shared" si="6"/>
        <v>152.10544431130586</v>
      </c>
    </row>
    <row r="28" spans="1:10">
      <c r="A28" s="32">
        <f t="shared" si="0"/>
        <v>0.38750000000000001</v>
      </c>
      <c r="B28" s="32">
        <v>0.77500000000000002</v>
      </c>
      <c r="C28" s="34">
        <f>B28*$B$9</f>
        <v>4.0609999999999999</v>
      </c>
      <c r="D28" s="9">
        <f t="shared" si="1"/>
        <v>9.3227032182102452</v>
      </c>
      <c r="E28" s="34">
        <f t="shared" si="2"/>
        <v>3.843771023668055E-2</v>
      </c>
      <c r="F28" s="9">
        <f t="shared" si="3"/>
        <v>-0.17729678178975483</v>
      </c>
      <c r="G28" s="9">
        <f t="shared" si="4"/>
        <v>41.153572681414261</v>
      </c>
      <c r="H28" s="32">
        <f>G28*E28/$B$11</f>
        <v>105036.46095168484</v>
      </c>
      <c r="I28" s="9">
        <f t="shared" si="5"/>
        <v>40.578905108868177</v>
      </c>
      <c r="J28" s="9">
        <f t="shared" si="6"/>
        <v>192.68434942017404</v>
      </c>
    </row>
    <row r="29" spans="1:10">
      <c r="A29" s="32">
        <f t="shared" si="0"/>
        <v>0.4325</v>
      </c>
      <c r="B29" s="32">
        <v>0.86499999999999999</v>
      </c>
      <c r="C29" s="34">
        <f>B29*$B$9</f>
        <v>4.5326000000000004</v>
      </c>
      <c r="D29" s="9">
        <f t="shared" si="1"/>
        <v>8.3672204876755405</v>
      </c>
      <c r="E29" s="34">
        <f t="shared" si="2"/>
        <v>3.4527897881558002E-2</v>
      </c>
      <c r="F29" s="9">
        <f t="shared" si="3"/>
        <v>-1.1327795123244595</v>
      </c>
      <c r="G29" s="9">
        <f t="shared" si="4"/>
        <v>45.813652118603756</v>
      </c>
      <c r="H29" s="32">
        <f>G29*E29/$B$11</f>
        <v>105036.46095168484</v>
      </c>
      <c r="I29" s="9">
        <f t="shared" si="5"/>
        <v>45.291294089252858</v>
      </c>
      <c r="J29" s="9">
        <f t="shared" si="6"/>
        <v>237.9756435094269</v>
      </c>
    </row>
    <row r="30" spans="1:10">
      <c r="A30" s="32">
        <f t="shared" si="0"/>
        <v>0.47749999999999998</v>
      </c>
      <c r="B30" s="32">
        <v>0.95499999999999996</v>
      </c>
      <c r="C30" s="34">
        <f>B30*$B$9</f>
        <v>5.0042</v>
      </c>
      <c r="D30" s="9">
        <f t="shared" si="1"/>
        <v>7.5883435303011666</v>
      </c>
      <c r="E30" s="34">
        <f t="shared" si="2"/>
        <v>3.1333598619583625E-2</v>
      </c>
      <c r="F30" s="9">
        <f t="shared" si="3"/>
        <v>-1.9116564696988334</v>
      </c>
      <c r="G30" s="9">
        <f t="shared" si="4"/>
        <v>50.484118378401377</v>
      </c>
      <c r="H30" s="32">
        <f>G30*E30/$B$11</f>
        <v>105036.46095168483</v>
      </c>
      <c r="I30" s="9">
        <f t="shared" si="5"/>
        <v>50.003683069637553</v>
      </c>
      <c r="J30" s="9">
        <f t="shared" si="6"/>
        <v>287.97932657906443</v>
      </c>
    </row>
    <row r="31" spans="1:10">
      <c r="H31" s="32" t="s">
        <v>75</v>
      </c>
      <c r="I31" s="9">
        <f>SUM(I21:I30)</f>
        <v>287.97932657906443</v>
      </c>
    </row>
    <row r="32" spans="1:10">
      <c r="H32" s="32" t="s">
        <v>28</v>
      </c>
      <c r="I32" s="9">
        <f>1/2*PI()*0.5^2*1.25*10^3 * 0.593</f>
        <v>291.08819430917924</v>
      </c>
    </row>
    <row r="35" spans="1:10" ht="16.5">
      <c r="A35" s="32" t="s">
        <v>84</v>
      </c>
      <c r="B35" s="32">
        <v>10</v>
      </c>
      <c r="C35" s="32" t="s">
        <v>17</v>
      </c>
    </row>
    <row r="36" spans="1:10">
      <c r="A36" s="32" t="s">
        <v>83</v>
      </c>
      <c r="B36" s="32">
        <v>5.24</v>
      </c>
      <c r="C36" s="32" t="s">
        <v>31</v>
      </c>
    </row>
    <row r="37" spans="1:10">
      <c r="A37" s="32" t="s">
        <v>23</v>
      </c>
      <c r="B37" s="32">
        <v>3</v>
      </c>
      <c r="C37" s="32" t="s">
        <v>31</v>
      </c>
    </row>
    <row r="38" spans="1:10">
      <c r="A38" s="32" t="s">
        <v>13</v>
      </c>
      <c r="B38" s="7">
        <f>1.506*0.00001</f>
        <v>1.5060000000000001E-5</v>
      </c>
      <c r="C38" s="32" t="s">
        <v>31</v>
      </c>
    </row>
    <row r="39" spans="1:10">
      <c r="A39" s="32" t="s">
        <v>8</v>
      </c>
      <c r="B39" s="32">
        <v>1.0309999999999999</v>
      </c>
      <c r="C39" s="32" t="s">
        <v>31</v>
      </c>
    </row>
    <row r="40" spans="1:10">
      <c r="A40" s="32" t="s">
        <v>16</v>
      </c>
      <c r="B40" s="32">
        <v>7.5</v>
      </c>
      <c r="C40" s="44" t="s">
        <v>87</v>
      </c>
    </row>
    <row r="41" spans="1:10">
      <c r="A41" s="32" t="s">
        <v>85</v>
      </c>
      <c r="B41" s="32">
        <v>1.25</v>
      </c>
      <c r="C41" s="44" t="s">
        <v>88</v>
      </c>
    </row>
    <row r="42" spans="1:10">
      <c r="A42" s="32" t="s">
        <v>26</v>
      </c>
      <c r="B42" s="32">
        <f>A50-A49</f>
        <v>4.5000000000000012E-2</v>
      </c>
      <c r="C42" s="44" t="s">
        <v>41</v>
      </c>
    </row>
    <row r="43" spans="1:10">
      <c r="A43" s="32" t="s">
        <v>86</v>
      </c>
      <c r="B43" s="32">
        <v>0.5</v>
      </c>
      <c r="C43" s="44" t="s">
        <v>41</v>
      </c>
    </row>
    <row r="44" spans="1:10">
      <c r="A44" s="32" t="s">
        <v>18</v>
      </c>
      <c r="B44" s="32">
        <f>B36*B35/B43</f>
        <v>104.80000000000001</v>
      </c>
      <c r="C44" s="44" t="s">
        <v>19</v>
      </c>
    </row>
    <row r="46" spans="1:10">
      <c r="A46" t="s">
        <v>15</v>
      </c>
    </row>
    <row r="47" spans="1:10">
      <c r="A47" s="32" t="s">
        <v>4</v>
      </c>
      <c r="B47" s="32" t="s">
        <v>0</v>
      </c>
      <c r="C47" s="32" t="s">
        <v>1</v>
      </c>
      <c r="D47" s="32" t="s">
        <v>2</v>
      </c>
      <c r="E47" s="32" t="s">
        <v>3</v>
      </c>
      <c r="F47" s="32" t="s">
        <v>5</v>
      </c>
      <c r="G47" s="32" t="s">
        <v>11</v>
      </c>
      <c r="H47" s="32" t="s">
        <v>12</v>
      </c>
      <c r="I47" s="32" t="s">
        <v>6</v>
      </c>
      <c r="J47" s="32" t="s">
        <v>6</v>
      </c>
    </row>
    <row r="48" spans="1:10">
      <c r="A48" s="32">
        <f>0.5*B48</f>
        <v>7.2499999999999995E-2</v>
      </c>
      <c r="B48" s="32">
        <v>0.14499999999999999</v>
      </c>
      <c r="C48" s="34">
        <f>B48*$B$9</f>
        <v>0.75980000000000003</v>
      </c>
      <c r="D48" s="9">
        <f>ATAN(2/(3*C48))*180/PI()</f>
        <v>41.264487478565421</v>
      </c>
      <c r="E48" s="34">
        <f>8*PI()*A48*SIN(D48/180*PI())/(3*3*$B$39*C48)</f>
        <v>0.17045739314696001</v>
      </c>
      <c r="F48" s="9">
        <f>D48-$B$40</f>
        <v>33.764487478565421</v>
      </c>
      <c r="G48" s="9">
        <f>$B$8*(1-1/3)/SIN(D48/180*PI())</f>
        <v>10.108117947691573</v>
      </c>
      <c r="H48" s="32">
        <f>G48*E48/$B$11</f>
        <v>114409.25863117562</v>
      </c>
      <c r="I48" s="9">
        <f>3*$B$39/SIN(D48/180*PI())*2/9*$B$14*10^2*E48*$B$17*A48*$B$15</f>
        <v>7.5921822461753354</v>
      </c>
      <c r="J48" s="9">
        <f>I48</f>
        <v>7.5921822461753354</v>
      </c>
    </row>
    <row r="49" spans="1:10">
      <c r="A49" s="32">
        <f t="shared" ref="A49:A57" si="7">0.5*B49</f>
        <v>0.11749999999999999</v>
      </c>
      <c r="B49" s="32">
        <v>0.23499999999999999</v>
      </c>
      <c r="C49" s="34">
        <f>B49*$B$9</f>
        <v>1.2314000000000001</v>
      </c>
      <c r="D49" s="9">
        <f t="shared" ref="D49:D57" si="8">ATAN(2/(3*C49))*180/PI()</f>
        <v>28.43063605223411</v>
      </c>
      <c r="E49" s="34">
        <f t="shared" ref="E49:E57" si="9">8*PI()*A49*SIN(D49/180*PI())/(3*3*$B$39*C49)</f>
        <v>0.12304686602278386</v>
      </c>
      <c r="F49" s="9">
        <f t="shared" ref="F49:F57" si="10">D49-$B$40</f>
        <v>20.93063605223411</v>
      </c>
      <c r="G49" s="9">
        <f t="shared" ref="G49:G57" si="11">$B$8*(1-1/3)/SIN(D49/180*PI())</f>
        <v>14.002822588479958</v>
      </c>
      <c r="H49" s="32">
        <f>G49*E49/$B$11</f>
        <v>114409.25863117562</v>
      </c>
      <c r="I49" s="9">
        <f t="shared" ref="I49:I57" si="12">3*$B$39/SIN(D49/180*PI())*2/9*$B$14*10^2*E49*$B$17*A49*$B$15</f>
        <v>12.304571226560027</v>
      </c>
      <c r="J49" s="9">
        <f>J48+I49</f>
        <v>19.896753472735362</v>
      </c>
    </row>
    <row r="50" spans="1:10">
      <c r="A50" s="32">
        <f t="shared" si="7"/>
        <v>0.16250000000000001</v>
      </c>
      <c r="B50" s="32">
        <v>0.32500000000000001</v>
      </c>
      <c r="C50" s="34">
        <f>B50*$B$9</f>
        <v>1.7030000000000001</v>
      </c>
      <c r="D50" s="9">
        <f t="shared" si="8"/>
        <v>21.378655948810771</v>
      </c>
      <c r="E50" s="34">
        <f t="shared" si="9"/>
        <v>9.421294523891309E-2</v>
      </c>
      <c r="F50" s="9">
        <f t="shared" si="10"/>
        <v>13.878655948810771</v>
      </c>
      <c r="G50" s="9">
        <f t="shared" si="11"/>
        <v>18.288393708700735</v>
      </c>
      <c r="H50" s="32">
        <f>G50*E50/$B$11</f>
        <v>114409.25863117562</v>
      </c>
      <c r="I50" s="9">
        <f t="shared" si="12"/>
        <v>17.016960206944717</v>
      </c>
      <c r="J50" s="9">
        <f t="shared" ref="J50:J57" si="13">J49+I50</f>
        <v>36.913713679680079</v>
      </c>
    </row>
    <row r="51" spans="1:10">
      <c r="A51" s="32">
        <f t="shared" si="7"/>
        <v>0.20749999999999999</v>
      </c>
      <c r="B51" s="32">
        <v>0.41499999999999998</v>
      </c>
      <c r="C51" s="34">
        <f>B51*$B$9</f>
        <v>2.1745999999999999</v>
      </c>
      <c r="D51" s="9">
        <f t="shared" si="8"/>
        <v>17.043957375909997</v>
      </c>
      <c r="E51" s="34">
        <f t="shared" si="9"/>
        <v>7.5753214905918395E-2</v>
      </c>
      <c r="F51" s="9">
        <f t="shared" si="10"/>
        <v>9.5439573759099972</v>
      </c>
      <c r="G51" s="9">
        <f t="shared" si="11"/>
        <v>22.744954615132666</v>
      </c>
      <c r="H51" s="32">
        <f>G51*E51/$B$11</f>
        <v>114409.25863117563</v>
      </c>
      <c r="I51" s="9">
        <f t="shared" si="12"/>
        <v>21.729349187329412</v>
      </c>
      <c r="J51" s="9">
        <f t="shared" si="13"/>
        <v>58.64306286700949</v>
      </c>
    </row>
    <row r="52" spans="1:10">
      <c r="A52" s="32">
        <f t="shared" si="7"/>
        <v>0.2525</v>
      </c>
      <c r="B52" s="32">
        <v>0.505</v>
      </c>
      <c r="C52" s="34">
        <f>B52*$B$9</f>
        <v>2.6462000000000003</v>
      </c>
      <c r="D52" s="9">
        <f t="shared" si="8"/>
        <v>14.140465642872146</v>
      </c>
      <c r="E52" s="34">
        <f t="shared" si="9"/>
        <v>6.3139443176870952E-2</v>
      </c>
      <c r="F52" s="9">
        <f t="shared" si="10"/>
        <v>6.6404656428721456</v>
      </c>
      <c r="G52" s="9">
        <f t="shared" si="11"/>
        <v>27.288860152898376</v>
      </c>
      <c r="H52" s="32">
        <f>G52*E52/$B$11</f>
        <v>114409.25863117562</v>
      </c>
      <c r="I52" s="9">
        <f t="shared" si="12"/>
        <v>26.441738167714096</v>
      </c>
      <c r="J52" s="9">
        <f t="shared" si="13"/>
        <v>85.084801034723583</v>
      </c>
    </row>
    <row r="53" spans="1:10">
      <c r="A53" s="32">
        <f t="shared" si="7"/>
        <v>0.29749999999999999</v>
      </c>
      <c r="B53" s="32">
        <v>0.59499999999999997</v>
      </c>
      <c r="C53" s="34">
        <f>B53*$B$9</f>
        <v>3.1177999999999999</v>
      </c>
      <c r="D53" s="9">
        <f t="shared" si="8"/>
        <v>12.06957075973075</v>
      </c>
      <c r="E53" s="34">
        <f t="shared" si="9"/>
        <v>5.4041806844417964E-2</v>
      </c>
      <c r="F53" s="9">
        <f t="shared" si="10"/>
        <v>4.56957075973075</v>
      </c>
      <c r="G53" s="9">
        <f t="shared" si="11"/>
        <v>31.882787338067619</v>
      </c>
      <c r="H53" s="32">
        <f>G53*E53/$B$11</f>
        <v>114409.25863117562</v>
      </c>
      <c r="I53" s="9">
        <f t="shared" si="12"/>
        <v>31.154127148098805</v>
      </c>
      <c r="J53" s="9">
        <f t="shared" si="13"/>
        <v>116.23892818282239</v>
      </c>
    </row>
    <row r="54" spans="1:10">
      <c r="A54" s="32">
        <f t="shared" si="7"/>
        <v>0.34250000000000003</v>
      </c>
      <c r="B54" s="32">
        <v>0.68500000000000005</v>
      </c>
      <c r="C54" s="34">
        <f>B54*$B$9</f>
        <v>3.5894000000000004</v>
      </c>
      <c r="D54" s="9">
        <f t="shared" si="8"/>
        <v>10.521768911264633</v>
      </c>
      <c r="E54" s="34">
        <f t="shared" si="9"/>
        <v>4.7195413241648464E-2</v>
      </c>
      <c r="F54" s="9">
        <f t="shared" si="10"/>
        <v>3.0217689112646333</v>
      </c>
      <c r="G54" s="9">
        <f t="shared" si="11"/>
        <v>36.507857790405126</v>
      </c>
      <c r="H54" s="32">
        <f>G54*E54/$B$11</f>
        <v>114409.25863117562</v>
      </c>
      <c r="I54" s="9">
        <f t="shared" si="12"/>
        <v>35.866516128483489</v>
      </c>
      <c r="J54" s="9">
        <f t="shared" si="13"/>
        <v>152.10544431130589</v>
      </c>
    </row>
    <row r="55" spans="1:10">
      <c r="A55" s="32">
        <f t="shared" si="7"/>
        <v>0.38750000000000001</v>
      </c>
      <c r="B55" s="32">
        <v>0.77500000000000002</v>
      </c>
      <c r="C55" s="34">
        <f>B55*$B$9</f>
        <v>4.0609999999999999</v>
      </c>
      <c r="D55" s="9">
        <f t="shared" si="8"/>
        <v>9.3227032182102452</v>
      </c>
      <c r="E55" s="34">
        <f t="shared" si="9"/>
        <v>4.1867651402320329E-2</v>
      </c>
      <c r="F55" s="9">
        <f t="shared" si="10"/>
        <v>1.8227032182102452</v>
      </c>
      <c r="G55" s="9">
        <f t="shared" si="11"/>
        <v>41.153572681414261</v>
      </c>
      <c r="H55" s="32">
        <f>G55*E55/$B$11</f>
        <v>114409.25863117563</v>
      </c>
      <c r="I55" s="9">
        <f t="shared" si="12"/>
        <v>40.578905108868184</v>
      </c>
      <c r="J55" s="9">
        <f t="shared" si="13"/>
        <v>192.68434942017407</v>
      </c>
    </row>
    <row r="56" spans="1:10">
      <c r="A56" s="32">
        <f t="shared" si="7"/>
        <v>0.4325</v>
      </c>
      <c r="B56" s="32">
        <v>0.86499999999999999</v>
      </c>
      <c r="C56" s="34">
        <f>B56*$B$9</f>
        <v>4.5326000000000004</v>
      </c>
      <c r="D56" s="9">
        <f t="shared" si="8"/>
        <v>8.3672204876755405</v>
      </c>
      <c r="E56" s="34">
        <f t="shared" si="9"/>
        <v>3.7608951814732915E-2</v>
      </c>
      <c r="F56" s="9">
        <f t="shared" si="10"/>
        <v>0.8672204876755405</v>
      </c>
      <c r="G56" s="9">
        <f t="shared" si="11"/>
        <v>45.813652118603756</v>
      </c>
      <c r="H56" s="32">
        <f>G56*E56/$B$11</f>
        <v>114409.25863117563</v>
      </c>
      <c r="I56" s="9">
        <f t="shared" si="12"/>
        <v>45.291294089252872</v>
      </c>
      <c r="J56" s="9">
        <f t="shared" si="13"/>
        <v>237.97564350942696</v>
      </c>
    </row>
    <row r="57" spans="1:10">
      <c r="A57" s="32">
        <f t="shared" si="7"/>
        <v>0.47749999999999998</v>
      </c>
      <c r="B57" s="32">
        <v>0.95499999999999996</v>
      </c>
      <c r="C57" s="34">
        <f>B57*$B$9</f>
        <v>5.0042</v>
      </c>
      <c r="D57" s="9">
        <f t="shared" si="8"/>
        <v>7.5883435303011666</v>
      </c>
      <c r="E57" s="34">
        <f t="shared" si="9"/>
        <v>3.412961323937188E-2</v>
      </c>
      <c r="F57" s="9">
        <f t="shared" si="10"/>
        <v>8.8343530301166595E-2</v>
      </c>
      <c r="G57" s="9">
        <f t="shared" si="11"/>
        <v>50.484118378401377</v>
      </c>
      <c r="H57" s="32">
        <f>G57*E57/$B$11</f>
        <v>114409.2586311756</v>
      </c>
      <c r="I57" s="9">
        <f t="shared" si="12"/>
        <v>50.003683069637539</v>
      </c>
      <c r="J57" s="9">
        <f t="shared" si="13"/>
        <v>287.97932657906449</v>
      </c>
    </row>
    <row r="58" spans="1:10">
      <c r="H58" s="32" t="s">
        <v>75</v>
      </c>
      <c r="I58" s="9">
        <f>SUM(I48:I57)</f>
        <v>287.97932657906449</v>
      </c>
    </row>
    <row r="59" spans="1:10">
      <c r="H59" s="32" t="s">
        <v>28</v>
      </c>
      <c r="I59" s="9">
        <f>1/2*PI()*0.5^2*1.25*10^3 * 0.593</f>
        <v>291.08819430917924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4E22-06B9-4B57-AC13-289F5CE8A50A}">
  <sheetPr codeName="Sheet3"/>
  <dimension ref="A1:S47"/>
  <sheetViews>
    <sheetView topLeftCell="A7" zoomScale="70" zoomScaleNormal="70" workbookViewId="0">
      <selection activeCell="E8" sqref="E8"/>
    </sheetView>
  </sheetViews>
  <sheetFormatPr defaultColWidth="8.81640625" defaultRowHeight="14.5"/>
  <cols>
    <col min="1" max="16" width="8.81640625" style="2"/>
    <col min="17" max="17" width="9.54296875" style="2" bestFit="1" customWidth="1"/>
    <col min="18" max="18" width="8.81640625" style="2"/>
    <col min="19" max="19" width="9.54296875" style="2" bestFit="1" customWidth="1"/>
    <col min="20" max="16384" width="8.81640625" style="2"/>
  </cols>
  <sheetData>
    <row r="1" spans="1:18">
      <c r="A1" t="s">
        <v>76</v>
      </c>
    </row>
    <row r="2" spans="1:18">
      <c r="A2" t="s">
        <v>77</v>
      </c>
    </row>
    <row r="3" spans="1:18">
      <c r="A3" t="s">
        <v>78</v>
      </c>
    </row>
    <row r="4" spans="1:18">
      <c r="A4" t="s">
        <v>89</v>
      </c>
    </row>
    <row r="5" spans="1:18">
      <c r="A5" t="s">
        <v>79</v>
      </c>
    </row>
    <row r="9" spans="1:18">
      <c r="A9" s="7" t="s">
        <v>20</v>
      </c>
      <c r="B9" s="7">
        <v>1</v>
      </c>
      <c r="C9" s="7" t="s">
        <v>21</v>
      </c>
    </row>
    <row r="10" spans="1:18">
      <c r="A10" s="7" t="s">
        <v>40</v>
      </c>
      <c r="B10" s="7">
        <f>B9/20</f>
        <v>0.05</v>
      </c>
      <c r="C10" s="7" t="s">
        <v>41</v>
      </c>
    </row>
    <row r="11" spans="1:18">
      <c r="A11" s="7" t="s">
        <v>42</v>
      </c>
      <c r="B11" s="7">
        <f>B9/2</f>
        <v>0.5</v>
      </c>
      <c r="C11" s="7" t="s">
        <v>41</v>
      </c>
      <c r="L11" s="2" t="s">
        <v>44</v>
      </c>
    </row>
    <row r="12" spans="1:18">
      <c r="A12" s="7" t="s">
        <v>35</v>
      </c>
      <c r="B12" s="7">
        <v>1000</v>
      </c>
      <c r="C12" s="7"/>
      <c r="L12" s="16"/>
      <c r="M12" s="53" t="s">
        <v>37</v>
      </c>
      <c r="N12" s="53"/>
      <c r="O12" s="53"/>
      <c r="P12" s="53" t="s">
        <v>38</v>
      </c>
      <c r="Q12" s="53"/>
      <c r="R12" s="54"/>
    </row>
    <row r="13" spans="1:18">
      <c r="A13" s="7" t="s">
        <v>18</v>
      </c>
      <c r="B13" s="12">
        <f>B12*2*PI()/60</f>
        <v>104.71975511965977</v>
      </c>
      <c r="C13" s="42" t="s">
        <v>19</v>
      </c>
      <c r="L13" s="7" t="s">
        <v>12</v>
      </c>
      <c r="M13" s="7" t="s">
        <v>16</v>
      </c>
      <c r="N13" s="7" t="s">
        <v>8</v>
      </c>
      <c r="O13" s="7" t="s">
        <v>9</v>
      </c>
      <c r="P13" s="7" t="s">
        <v>16</v>
      </c>
      <c r="Q13" s="7" t="s">
        <v>34</v>
      </c>
      <c r="R13" s="7" t="s">
        <v>33</v>
      </c>
    </row>
    <row r="14" spans="1:18">
      <c r="A14" s="7" t="s">
        <v>11</v>
      </c>
      <c r="B14" s="7">
        <v>10</v>
      </c>
      <c r="C14" s="7" t="s">
        <v>17</v>
      </c>
      <c r="L14" s="7">
        <v>50000</v>
      </c>
      <c r="M14" s="8">
        <v>9.5</v>
      </c>
      <c r="N14" s="8">
        <v>1.123</v>
      </c>
      <c r="O14" s="8">
        <v>4.2770000000000002E-2</v>
      </c>
      <c r="P14" s="9">
        <f xml:space="preserve"> 53.47*L14^-0.166</f>
        <v>8.8732182420632029</v>
      </c>
      <c r="Q14" s="10">
        <f xml:space="preserve"> 2.2543*L14^-0.067</f>
        <v>1.0918946064472412</v>
      </c>
      <c r="R14" s="10">
        <f>8.4475*L14^-0.506</f>
        <v>3.5403759202998653E-2</v>
      </c>
    </row>
    <row r="15" spans="1:18">
      <c r="A15" s="7" t="s">
        <v>22</v>
      </c>
      <c r="B15" s="30">
        <f>B13*B9/2/B14</f>
        <v>5.2359877559829879</v>
      </c>
      <c r="C15" s="7" t="s">
        <v>31</v>
      </c>
      <c r="L15" s="7">
        <v>100000</v>
      </c>
      <c r="M15" s="11">
        <v>7.5</v>
      </c>
      <c r="N15" s="8">
        <v>1.0310999999999999</v>
      </c>
      <c r="O15" s="8">
        <v>2.213E-2</v>
      </c>
      <c r="P15" s="9">
        <f t="shared" ref="P15:P18" si="0" xml:space="preserve"> 53.47*L15^-0.166</f>
        <v>7.9087925515354049</v>
      </c>
      <c r="Q15" s="10">
        <f t="shared" ref="Q15:Q18" si="1" xml:space="preserve"> 2.2543*L15^-0.067</f>
        <v>1.0423455365403527</v>
      </c>
      <c r="R15" s="10">
        <f t="shared" ref="R15:R18" si="2">8.4475*L15^-0.506</f>
        <v>2.4930339942264297E-2</v>
      </c>
    </row>
    <row r="16" spans="1:18">
      <c r="A16" s="7" t="s">
        <v>13</v>
      </c>
      <c r="B16" s="57">
        <f>1.506*0.00001</f>
        <v>1.5060000000000001E-5</v>
      </c>
      <c r="C16" s="7" t="s">
        <v>36</v>
      </c>
      <c r="L16" s="7">
        <v>200000</v>
      </c>
      <c r="M16" s="8">
        <v>6.75</v>
      </c>
      <c r="N16" s="11">
        <v>0.97260000000000002</v>
      </c>
      <c r="O16" s="8">
        <v>1.516E-2</v>
      </c>
      <c r="P16" s="9">
        <f t="shared" si="0"/>
        <v>7.0491898110552924</v>
      </c>
      <c r="Q16" s="10">
        <f t="shared" si="1"/>
        <v>0.9950449531761586</v>
      </c>
      <c r="R16" s="10">
        <f t="shared" si="2"/>
        <v>1.7555250166321791E-2</v>
      </c>
    </row>
    <row r="17" spans="1:19">
      <c r="A17" s="7" t="s">
        <v>23</v>
      </c>
      <c r="B17" s="7">
        <v>3</v>
      </c>
      <c r="C17" s="7"/>
      <c r="L17" s="7">
        <v>500000</v>
      </c>
      <c r="M17" s="8">
        <v>5.75</v>
      </c>
      <c r="N17" s="11">
        <v>0.90690000000000004</v>
      </c>
      <c r="O17" s="8">
        <v>1.0410000000000001E-2</v>
      </c>
      <c r="P17" s="9">
        <f t="shared" si="0"/>
        <v>6.054540148123448</v>
      </c>
      <c r="Q17" s="10">
        <f t="shared" si="1"/>
        <v>0.93579500072820621</v>
      </c>
      <c r="R17" s="10">
        <f t="shared" si="2"/>
        <v>1.104204158160023E-2</v>
      </c>
    </row>
    <row r="18" spans="1:19">
      <c r="A18" s="7" t="s">
        <v>26</v>
      </c>
      <c r="B18" s="33">
        <f>(B11-B10)/B19</f>
        <v>4.4999999999999998E-2</v>
      </c>
      <c r="C18" s="7" t="s">
        <v>41</v>
      </c>
      <c r="L18" s="7">
        <v>1000000</v>
      </c>
      <c r="M18" s="8">
        <v>5.75</v>
      </c>
      <c r="N18" s="8">
        <v>0.9274</v>
      </c>
      <c r="O18" s="8">
        <v>8.9999999999999993E-3</v>
      </c>
      <c r="P18" s="9">
        <f t="shared" si="0"/>
        <v>5.3964751818520318</v>
      </c>
      <c r="Q18" s="10">
        <f t="shared" si="1"/>
        <v>0.89332957262203727</v>
      </c>
      <c r="R18" s="10">
        <f t="shared" si="2"/>
        <v>7.7754977573849136E-3</v>
      </c>
    </row>
    <row r="19" spans="1:19">
      <c r="A19" s="7" t="s">
        <v>32</v>
      </c>
      <c r="B19" s="7">
        <v>10</v>
      </c>
      <c r="C19" s="7"/>
    </row>
    <row r="20" spans="1:19">
      <c r="N20" s="17" t="s">
        <v>43</v>
      </c>
    </row>
    <row r="21" spans="1:19">
      <c r="E21" s="55" t="s">
        <v>80</v>
      </c>
      <c r="F21" s="55"/>
      <c r="G21" s="55"/>
      <c r="N21" s="56" t="s">
        <v>81</v>
      </c>
      <c r="O21" s="56"/>
      <c r="P21" s="56"/>
    </row>
    <row r="22" spans="1:19">
      <c r="A22" s="7" t="s">
        <v>4</v>
      </c>
      <c r="B22" s="7" t="s">
        <v>0</v>
      </c>
      <c r="C22" s="7" t="s">
        <v>1</v>
      </c>
      <c r="D22" s="7" t="s">
        <v>2</v>
      </c>
      <c r="E22" s="7" t="s">
        <v>16</v>
      </c>
      <c r="F22" s="7" t="s">
        <v>34</v>
      </c>
      <c r="G22" s="7" t="s">
        <v>33</v>
      </c>
      <c r="H22" s="7" t="s">
        <v>3</v>
      </c>
      <c r="I22" s="7" t="s">
        <v>5</v>
      </c>
      <c r="J22" s="7" t="s">
        <v>24</v>
      </c>
      <c r="K22" s="7" t="s">
        <v>25</v>
      </c>
      <c r="L22" s="7" t="s">
        <v>11</v>
      </c>
      <c r="M22" s="7" t="s">
        <v>12</v>
      </c>
      <c r="N22" s="7" t="s">
        <v>16</v>
      </c>
      <c r="O22" s="7" t="s">
        <v>34</v>
      </c>
      <c r="P22" s="7" t="s">
        <v>33</v>
      </c>
      <c r="Q22" s="7" t="s">
        <v>27</v>
      </c>
      <c r="R22" s="7" t="s">
        <v>6</v>
      </c>
      <c r="S22" s="18" t="s">
        <v>45</v>
      </c>
    </row>
    <row r="23" spans="1:19">
      <c r="A23" s="7">
        <f>$B$10+$B$18/2</f>
        <v>7.2500000000000009E-2</v>
      </c>
      <c r="B23" s="7">
        <f t="shared" ref="B23:B32" si="3">A23/$B$11</f>
        <v>0.14500000000000002</v>
      </c>
      <c r="C23" s="10">
        <f t="shared" ref="C23:C32" si="4">B23*$B$15</f>
        <v>0.7592182246175333</v>
      </c>
      <c r="D23" s="12">
        <f>2/3*ATAN(1/C23)*180/PI()</f>
        <v>35.195712987169578</v>
      </c>
      <c r="E23" s="14">
        <v>8.1467378227148455</v>
      </c>
      <c r="F23" s="15">
        <v>1.0548911877328477</v>
      </c>
      <c r="G23" s="15">
        <v>2.7287847596714179E-2</v>
      </c>
      <c r="H23" s="10">
        <f t="shared" ref="H23:H32" si="5">8*PI()*A23/($B$17*F23)*(1-COS(D23/180*PI()))</f>
        <v>0.10525762948102355</v>
      </c>
      <c r="I23" s="12">
        <f>D23-E23</f>
        <v>27.048975164454731</v>
      </c>
      <c r="J23" s="10">
        <f t="shared" ref="J23:J32" si="6">1/(1+SIN(D23/180*PI())*TAN(D23/180*PI())*8*PI()*A23/($B$17*F23*H23))</f>
        <v>0.31020173655006839</v>
      </c>
      <c r="K23" s="10">
        <f>(1-3*J23)/(4*J23-1)</f>
        <v>0.28817603248072782</v>
      </c>
      <c r="L23" s="12">
        <f t="shared" ref="L23:L32" si="7">$B$14*(1-J23)/SIN(D23/180*PI())</f>
        <v>11.967952161322174</v>
      </c>
      <c r="M23" s="13">
        <f t="shared" ref="M23:M32" si="8">L23*H23/$B$16</f>
        <v>83646.631755847557</v>
      </c>
      <c r="N23" s="14">
        <f xml:space="preserve"> 53.47*M23^-0.166</f>
        <v>8.1467378227148473</v>
      </c>
      <c r="O23" s="15">
        <f xml:space="preserve"> 2.2543*M23^-0.067</f>
        <v>1.054891187732848</v>
      </c>
      <c r="P23" s="15">
        <f>8.4475*M23^-0.506</f>
        <v>2.7287847596714203E-2</v>
      </c>
      <c r="Q23" s="10">
        <f>$B$17*$B$13/(PI()/4*$B$9^2*$B$14)*O23*H23/SIN(D23/180*PI()) *(1-P23/O23*_xlfn.COT(D23/180*PI())) *  (1-J23)^2 *A23*$B$18</f>
        <v>1.1523545094363081E-2</v>
      </c>
      <c r="R23" s="12">
        <f>Q23*1/2*1.25*PI()/4*$B$9^2*$B$14^3</f>
        <v>5.6566069705877737</v>
      </c>
      <c r="S23" s="10">
        <f>8/$B$15^2*K23*(1-J23)*(1-P23/O23*_xlfn.COT(D23/180*PI()))*C23^3*($C$24-$C$23)</f>
        <v>1.1523545094363123E-2</v>
      </c>
    </row>
    <row r="24" spans="1:19">
      <c r="A24" s="7">
        <f t="shared" ref="A24:A32" si="9">A23+$B$18</f>
        <v>0.11750000000000001</v>
      </c>
      <c r="B24" s="7">
        <f t="shared" si="3"/>
        <v>0.23500000000000001</v>
      </c>
      <c r="C24" s="10">
        <f t="shared" si="4"/>
        <v>1.2304571226560022</v>
      </c>
      <c r="D24" s="12">
        <f t="shared" ref="D24:D32" si="10">2/3*ATAN(1/C24)*180/PI()</f>
        <v>26.067313924789779</v>
      </c>
      <c r="E24" s="14">
        <v>7.9296123917574644</v>
      </c>
      <c r="F24" s="15">
        <v>1.0434521732181203</v>
      </c>
      <c r="G24" s="15">
        <v>2.5130929426666931E-2</v>
      </c>
      <c r="H24" s="10">
        <f t="shared" si="5"/>
        <v>9.5961511709826031E-2</v>
      </c>
      <c r="I24" s="12">
        <f t="shared" ref="I24:I32" si="11">D24-E24</f>
        <v>18.137701533032313</v>
      </c>
      <c r="J24" s="10">
        <f t="shared" si="6"/>
        <v>0.32120870998526391</v>
      </c>
      <c r="K24" s="10">
        <f t="shared" ref="K24:K32" si="12">(1-3*J24)/(4*J24-1)</f>
        <v>0.12770161842468258</v>
      </c>
      <c r="L24" s="12">
        <f t="shared" si="7"/>
        <v>15.447198545867</v>
      </c>
      <c r="M24" s="13">
        <f t="shared" si="8"/>
        <v>98428.720062631051</v>
      </c>
      <c r="N24" s="14">
        <f t="shared" ref="N24:N32" si="13" xml:space="preserve"> 53.47*M24^-0.166</f>
        <v>7.9296123917574644</v>
      </c>
      <c r="O24" s="15">
        <f t="shared" ref="O24:O32" si="14" xml:space="preserve"> 2.2543*M24^-0.067</f>
        <v>1.0434521732181203</v>
      </c>
      <c r="P24" s="15">
        <f t="shared" ref="P24:P32" si="15">8.4475*M24^-0.506</f>
        <v>2.5130929426666931E-2</v>
      </c>
      <c r="Q24" s="10">
        <f>$B$17*$B$13/(PI()/4*$B$9^2*$B$14)*O24*H24/SIN(D24/180*PI()) *(1-P24/O24*_xlfn.COT(D24/180*PI())) *  (1-J24)^2 *A24*$B$18</f>
        <v>2.1112510365050383E-2</v>
      </c>
      <c r="R24" s="12">
        <f>Q24*1/2*1.25*PI()/4*$B$9^2*$B$14^3</f>
        <v>10.3635792908876</v>
      </c>
      <c r="S24" s="10">
        <f t="shared" ref="S24:S32" si="16">8/$B$15^2*K24*(1-J24)*(1-P24/O24*_xlfn.COT(D24/180*PI()))*C24^3*($C$24-$C$23)</f>
        <v>2.1112510365050512E-2</v>
      </c>
    </row>
    <row r="25" spans="1:19">
      <c r="A25" s="7">
        <f t="shared" si="9"/>
        <v>0.16250000000000001</v>
      </c>
      <c r="B25" s="7">
        <f t="shared" si="3"/>
        <v>0.32500000000000001</v>
      </c>
      <c r="C25" s="10">
        <f t="shared" si="4"/>
        <v>1.7016960206944711</v>
      </c>
      <c r="D25" s="12">
        <f t="shared" si="10"/>
        <v>20.293721831516738</v>
      </c>
      <c r="E25" s="14">
        <v>7.845899401181363</v>
      </c>
      <c r="F25" s="15">
        <v>1.0389919880260645</v>
      </c>
      <c r="G25" s="15">
        <v>2.4330932187748334E-2</v>
      </c>
      <c r="H25" s="10">
        <f t="shared" si="5"/>
        <v>8.1332270508739132E-2</v>
      </c>
      <c r="I25" s="12">
        <f t="shared" si="11"/>
        <v>12.447822430335375</v>
      </c>
      <c r="J25" s="10">
        <f t="shared" si="6"/>
        <v>0.3261385941883756</v>
      </c>
      <c r="K25" s="10">
        <f t="shared" si="12"/>
        <v>7.0871473478586439E-2</v>
      </c>
      <c r="L25" s="12">
        <f t="shared" si="7"/>
        <v>19.428994294929989</v>
      </c>
      <c r="M25" s="13">
        <f t="shared" si="8"/>
        <v>104927.23902443527</v>
      </c>
      <c r="N25" s="14">
        <f t="shared" si="13"/>
        <v>7.8458994011813656</v>
      </c>
      <c r="O25" s="15">
        <f t="shared" si="14"/>
        <v>1.0389919880260647</v>
      </c>
      <c r="P25" s="15">
        <f t="shared" si="15"/>
        <v>2.4330932187748351E-2</v>
      </c>
      <c r="Q25" s="10">
        <f>$B$17*$B$13/(PI()/4*$B$9^2*$B$14)*O25*H25/SIN(D25/180*PI()) *(1-P25/O25*_xlfn.COT(D25/180*PI())) *  (1-J25)^2 *A25*$B$18</f>
        <v>3.0311640387303513E-2</v>
      </c>
      <c r="R25" s="12">
        <f>Q25*1/2*1.25*PI()/4*$B$9^2*$B$14^3</f>
        <v>14.87919168109506</v>
      </c>
      <c r="S25" s="10">
        <f t="shared" si="16"/>
        <v>3.0311640387303614E-2</v>
      </c>
    </row>
    <row r="26" spans="1:19">
      <c r="A26" s="7">
        <f t="shared" si="9"/>
        <v>0.20750000000000002</v>
      </c>
      <c r="B26" s="7">
        <f t="shared" si="3"/>
        <v>0.41500000000000004</v>
      </c>
      <c r="C26" s="10">
        <f t="shared" si="4"/>
        <v>2.1729349187329401</v>
      </c>
      <c r="D26" s="12">
        <f t="shared" si="10"/>
        <v>16.474814265039871</v>
      </c>
      <c r="E26" s="14">
        <v>7.8060175186576846</v>
      </c>
      <c r="F26" s="15">
        <v>1.0368571182013717</v>
      </c>
      <c r="G26" s="15">
        <v>2.3955897495172677E-2</v>
      </c>
      <c r="H26" s="10">
        <f t="shared" si="5"/>
        <v>6.8831821923860212E-2</v>
      </c>
      <c r="I26" s="12">
        <f t="shared" si="11"/>
        <v>8.6687967463821867</v>
      </c>
      <c r="J26" s="10">
        <f t="shared" si="6"/>
        <v>0.32864324033038222</v>
      </c>
      <c r="K26" s="10">
        <f t="shared" si="12"/>
        <v>4.4728189446873588E-2</v>
      </c>
      <c r="L26" s="12">
        <f t="shared" si="7"/>
        <v>23.673178081345661</v>
      </c>
      <c r="M26" s="13">
        <f t="shared" si="8"/>
        <v>108198.40491812849</v>
      </c>
      <c r="N26" s="14">
        <f t="shared" si="13"/>
        <v>7.8060175186576846</v>
      </c>
      <c r="O26" s="15">
        <f t="shared" si="14"/>
        <v>1.0368571182013717</v>
      </c>
      <c r="P26" s="15">
        <f t="shared" si="15"/>
        <v>2.3955897495172677E-2</v>
      </c>
      <c r="Q26" s="10">
        <f>$B$17*$B$13/(PI()/4*$B$9^2*$B$14)*O26*H26/SIN(D26/180*PI()) *(1-P26/O26*_xlfn.COT(D26/180*PI())) *  (1-J26)^2 *A26*$B$18</f>
        <v>3.9055368451292587E-2</v>
      </c>
      <c r="R26" s="12">
        <f>Q26*1/2*1.25*PI()/4*$B$9^2*$B$14^3</f>
        <v>19.171259157784903</v>
      </c>
      <c r="S26" s="10">
        <f t="shared" si="16"/>
        <v>3.9055368451292989E-2</v>
      </c>
    </row>
    <row r="27" spans="1:19">
      <c r="A27" s="7">
        <f t="shared" si="9"/>
        <v>0.2525</v>
      </c>
      <c r="B27" s="7">
        <f t="shared" si="3"/>
        <v>0.505</v>
      </c>
      <c r="C27" s="10">
        <f t="shared" si="4"/>
        <v>2.6441738167714091</v>
      </c>
      <c r="D27" s="12">
        <f t="shared" si="10"/>
        <v>13.810743281632481</v>
      </c>
      <c r="E27" s="14">
        <v>7.7842161109957617</v>
      </c>
      <c r="F27" s="15">
        <v>1.0356873421662061</v>
      </c>
      <c r="G27" s="15">
        <v>2.37525367346446E-2</v>
      </c>
      <c r="H27" s="10">
        <f t="shared" si="5"/>
        <v>5.9048160643688105E-2</v>
      </c>
      <c r="I27" s="12">
        <f t="shared" si="11"/>
        <v>6.0265271706367196</v>
      </c>
      <c r="J27" s="10">
        <f t="shared" si="6"/>
        <v>0.33005793066827721</v>
      </c>
      <c r="K27" s="10">
        <f t="shared" si="12"/>
        <v>3.0684680184538942E-2</v>
      </c>
      <c r="L27" s="12">
        <f t="shared" si="7"/>
        <v>28.064450726113432</v>
      </c>
      <c r="M27" s="13">
        <f t="shared" si="8"/>
        <v>110036.79912698639</v>
      </c>
      <c r="N27" s="14">
        <f t="shared" si="13"/>
        <v>7.7842161109957617</v>
      </c>
      <c r="O27" s="15">
        <f t="shared" si="14"/>
        <v>1.0356873421662061</v>
      </c>
      <c r="P27" s="15">
        <f t="shared" si="15"/>
        <v>2.37525367346446E-2</v>
      </c>
      <c r="Q27" s="10">
        <f>$B$17*$B$13/(PI()/4*$B$9^2*$B$14)*O27*H27/SIN(D27/180*PI()) *(1-P27/O27*_xlfn.COT(D27/180*PI())) *  (1-J27)^2 *A27*$B$18</f>
        <v>4.7383657444671427E-2</v>
      </c>
      <c r="R27" s="12">
        <f>Q27*1/2*1.25*PI()/4*$B$9^2*$B$14^3</f>
        <v>23.25939845756173</v>
      </c>
      <c r="S27" s="10">
        <f t="shared" si="16"/>
        <v>4.7383657444668603E-2</v>
      </c>
    </row>
    <row r="28" spans="1:19">
      <c r="A28" s="7">
        <f t="shared" si="9"/>
        <v>0.29749999999999999</v>
      </c>
      <c r="B28" s="7">
        <f t="shared" si="3"/>
        <v>0.59499999999999997</v>
      </c>
      <c r="C28" s="10">
        <f t="shared" si="4"/>
        <v>3.1154127148098776</v>
      </c>
      <c r="D28" s="12">
        <f t="shared" si="10"/>
        <v>11.863892359258896</v>
      </c>
      <c r="E28" s="14">
        <v>7.7710929072057775</v>
      </c>
      <c r="F28" s="15">
        <v>1.0349822614465045</v>
      </c>
      <c r="G28" s="15">
        <v>2.3630686210424023E-2</v>
      </c>
      <c r="H28" s="10">
        <f t="shared" si="5"/>
        <v>5.1439830966598342E-2</v>
      </c>
      <c r="I28" s="12">
        <f t="shared" si="11"/>
        <v>4.0927994520531188</v>
      </c>
      <c r="J28" s="10">
        <f t="shared" si="6"/>
        <v>0.3309255714585338</v>
      </c>
      <c r="K28" s="10">
        <f t="shared" si="12"/>
        <v>2.2314595665536213E-2</v>
      </c>
      <c r="L28" s="12">
        <f t="shared" si="7"/>
        <v>32.544510649343863</v>
      </c>
      <c r="M28" s="13">
        <f t="shared" si="8"/>
        <v>111160.96458784248</v>
      </c>
      <c r="N28" s="14">
        <f t="shared" si="13"/>
        <v>7.7710929072057775</v>
      </c>
      <c r="O28" s="15">
        <f t="shared" si="14"/>
        <v>1.0349822614465045</v>
      </c>
      <c r="P28" s="15">
        <f t="shared" si="15"/>
        <v>2.3630686210424023E-2</v>
      </c>
      <c r="Q28" s="10">
        <f>$B$17*$B$13/(PI()/4*$B$9^2*$B$14)*O28*H28/SIN(D28/180*PI()) *(1-P28/O28*_xlfn.COT(D28/180*PI())) *  (1-J28)^2 *A28*$B$18</f>
        <v>5.5331872065598628E-2</v>
      </c>
      <c r="R28" s="12">
        <f>Q28*1/2*1.25*PI()/4*$B$9^2*$B$14^3</f>
        <v>27.160969186039836</v>
      </c>
      <c r="S28" s="10">
        <f t="shared" si="16"/>
        <v>5.533187206559767E-2</v>
      </c>
    </row>
    <row r="29" spans="1:19">
      <c r="A29" s="7">
        <f t="shared" si="9"/>
        <v>0.34249999999999997</v>
      </c>
      <c r="B29" s="7">
        <f t="shared" si="3"/>
        <v>0.68499999999999994</v>
      </c>
      <c r="C29" s="10">
        <f t="shared" si="4"/>
        <v>3.5866516128483465</v>
      </c>
      <c r="D29" s="12">
        <f t="shared" si="10"/>
        <v>10.386057177426251</v>
      </c>
      <c r="E29" s="14">
        <v>7.7626140260541581</v>
      </c>
      <c r="F29" s="15">
        <v>1.034526332227655</v>
      </c>
      <c r="G29" s="15">
        <v>2.3552182559510439E-2</v>
      </c>
      <c r="H29" s="10">
        <f t="shared" si="5"/>
        <v>4.5443759372334969E-2</v>
      </c>
      <c r="I29" s="12">
        <f t="shared" si="11"/>
        <v>2.6234431513720926</v>
      </c>
      <c r="J29" s="10">
        <f t="shared" si="6"/>
        <v>0.33149271371908701</v>
      </c>
      <c r="K29" s="10">
        <f t="shared" si="12"/>
        <v>1.693973175863734E-2</v>
      </c>
      <c r="L29" s="12">
        <f t="shared" si="7"/>
        <v>37.081654453150541</v>
      </c>
      <c r="M29" s="13">
        <f t="shared" si="8"/>
        <v>111894.40784176935</v>
      </c>
      <c r="N29" s="14">
        <f t="shared" si="13"/>
        <v>7.7626140260541581</v>
      </c>
      <c r="O29" s="15">
        <f t="shared" si="14"/>
        <v>1.034526332227655</v>
      </c>
      <c r="P29" s="15">
        <f t="shared" si="15"/>
        <v>2.3552182559510439E-2</v>
      </c>
      <c r="Q29" s="10">
        <f>$B$17*$B$13/(PI()/4*$B$9^2*$B$14)*O29*H29/SIN(D29/180*PI()) *(1-P29/O29*_xlfn.COT(D29/180*PI())) *  (1-J29)^2 *A29*$B$18</f>
        <v>6.2923447240719008E-2</v>
      </c>
      <c r="R29" s="12">
        <f>Q29*1/2*1.25*PI()/4*$B$9^2*$B$14^3</f>
        <v>30.88747493593559</v>
      </c>
      <c r="S29" s="10">
        <f t="shared" si="16"/>
        <v>6.2923447240697983E-2</v>
      </c>
    </row>
    <row r="30" spans="1:19">
      <c r="A30" s="7">
        <f t="shared" si="9"/>
        <v>0.38749999999999996</v>
      </c>
      <c r="B30" s="7">
        <f t="shared" si="3"/>
        <v>0.77499999999999991</v>
      </c>
      <c r="C30" s="10">
        <f t="shared" si="4"/>
        <v>4.0578905108868151</v>
      </c>
      <c r="D30" s="12">
        <f t="shared" si="10"/>
        <v>9.229170290506751</v>
      </c>
      <c r="E30" s="14">
        <v>7.7568321490144214</v>
      </c>
      <c r="F30" s="15">
        <v>1.0342152568698166</v>
      </c>
      <c r="G30" s="15">
        <v>2.349875034997248E-2</v>
      </c>
      <c r="H30" s="10">
        <f t="shared" si="5"/>
        <v>4.0634057311502526E-2</v>
      </c>
      <c r="I30" s="12">
        <f t="shared" si="11"/>
        <v>1.4723381414923296</v>
      </c>
      <c r="J30" s="10">
        <f t="shared" si="6"/>
        <v>0.33188244960015251</v>
      </c>
      <c r="K30" s="10">
        <f t="shared" si="12"/>
        <v>1.3289328851289998E-2</v>
      </c>
      <c r="L30" s="12">
        <f t="shared" si="7"/>
        <v>41.657437937702625</v>
      </c>
      <c r="M30" s="13">
        <f t="shared" si="8"/>
        <v>112397.79021321169</v>
      </c>
      <c r="N30" s="14">
        <f t="shared" si="13"/>
        <v>7.7568321490144214</v>
      </c>
      <c r="O30" s="15">
        <f t="shared" si="14"/>
        <v>1.0342152568698166</v>
      </c>
      <c r="P30" s="15">
        <f t="shared" si="15"/>
        <v>2.3498750349972501E-2</v>
      </c>
      <c r="Q30" s="10">
        <f>$B$17*$B$13/(PI()/4*$B$9^2*$B$14)*O30*H30/SIN(D30/180*PI()) *(1-P30/O30*_xlfn.COT(D30/180*PI())) *  (1-J30)^2 *A30*$B$18</f>
        <v>7.0173434153487646E-2</v>
      </c>
      <c r="R30" s="12">
        <f>Q30*1/2*1.25*PI()/4*$B$9^2*$B$14^3</f>
        <v>34.446303939650605</v>
      </c>
      <c r="S30" s="10">
        <f t="shared" si="16"/>
        <v>7.0173434153460723E-2</v>
      </c>
    </row>
    <row r="31" spans="1:19">
      <c r="A31" s="7">
        <f t="shared" si="9"/>
        <v>0.43249999999999994</v>
      </c>
      <c r="B31" s="7">
        <f t="shared" si="3"/>
        <v>0.86499999999999988</v>
      </c>
      <c r="C31" s="10">
        <f t="shared" si="4"/>
        <v>4.529129408925284</v>
      </c>
      <c r="D31" s="12">
        <f t="shared" si="10"/>
        <v>8.300498975671875</v>
      </c>
      <c r="E31" s="14">
        <v>7.7527187992465985</v>
      </c>
      <c r="F31" s="15">
        <v>1.0339938670793267</v>
      </c>
      <c r="G31" s="15">
        <v>2.346078717104056E-2</v>
      </c>
      <c r="H31" s="10">
        <f t="shared" si="5"/>
        <v>3.670795528307802E-2</v>
      </c>
      <c r="I31" s="12">
        <f t="shared" si="11"/>
        <v>0.54778017642527654</v>
      </c>
      <c r="J31" s="10">
        <f t="shared" si="6"/>
        <v>0.33216120671292942</v>
      </c>
      <c r="K31" s="10">
        <f t="shared" si="12"/>
        <v>1.0699635515024364E-2</v>
      </c>
      <c r="L31" s="12">
        <f t="shared" si="7"/>
        <v>46.260494766770158</v>
      </c>
      <c r="M31" s="13">
        <f t="shared" si="8"/>
        <v>112757.51482547566</v>
      </c>
      <c r="N31" s="14">
        <f t="shared" si="13"/>
        <v>7.7527187992465985</v>
      </c>
      <c r="O31" s="15">
        <f t="shared" si="14"/>
        <v>1.0339938670793267</v>
      </c>
      <c r="P31" s="15">
        <f t="shared" si="15"/>
        <v>2.346078717104056E-2</v>
      </c>
      <c r="Q31" s="10">
        <f>$B$17*$B$13/(PI()/4*$B$9^2*$B$14)*O31*H31/SIN(D31/180*PI()) *(1-P31/O31*_xlfn.COT(D31/180*PI())) *  (1-J31)^2 *A31*$B$18</f>
        <v>7.7091660760498601E-2</v>
      </c>
      <c r="R31" s="12">
        <f>Q31*1/2*1.25*PI()/4*$B$9^2*$B$14^3</f>
        <v>37.842280484096705</v>
      </c>
      <c r="S31" s="10">
        <f t="shared" si="16"/>
        <v>7.7091660760521721E-2</v>
      </c>
    </row>
    <row r="32" spans="1:19">
      <c r="A32" s="7">
        <f t="shared" si="9"/>
        <v>0.47749999999999992</v>
      </c>
      <c r="B32" s="7">
        <f t="shared" si="3"/>
        <v>0.95499999999999985</v>
      </c>
      <c r="C32" s="10">
        <f t="shared" si="4"/>
        <v>5.000368306963753</v>
      </c>
      <c r="D32" s="12">
        <f t="shared" si="10"/>
        <v>7.5394139329354237</v>
      </c>
      <c r="E32" s="14">
        <v>7.7496910411001014</v>
      </c>
      <c r="F32" s="15">
        <v>1.0338308615219978</v>
      </c>
      <c r="G32" s="15">
        <v>2.3432869547285438E-2</v>
      </c>
      <c r="H32" s="10">
        <f t="shared" si="5"/>
        <v>3.345150423683009E-2</v>
      </c>
      <c r="I32" s="12">
        <f t="shared" si="11"/>
        <v>-0.21027710816467771</v>
      </c>
      <c r="J32" s="10">
        <f t="shared" si="6"/>
        <v>0.33236719141444848</v>
      </c>
      <c r="K32" s="10">
        <f t="shared" si="12"/>
        <v>8.797270208202479E-3</v>
      </c>
      <c r="L32" s="12">
        <f t="shared" si="7"/>
        <v>50.883474892375816</v>
      </c>
      <c r="M32" s="13">
        <f t="shared" si="8"/>
        <v>113023.15909342277</v>
      </c>
      <c r="N32" s="14">
        <f t="shared" si="13"/>
        <v>7.7496910411001014</v>
      </c>
      <c r="O32" s="15">
        <f t="shared" si="14"/>
        <v>1.0338308615219978</v>
      </c>
      <c r="P32" s="15">
        <f t="shared" si="15"/>
        <v>2.3432869547285438E-2</v>
      </c>
      <c r="Q32" s="10">
        <f>$B$17*$B$13/(PI()/4*$B$9^2*$B$14)*O32*H32/SIN(D32/180*PI()) *(1-P32/O32*_xlfn.COT(D32/180*PI())) *  (1-J32)^2 *A32*$B$18</f>
        <v>8.3684723199217534E-2</v>
      </c>
      <c r="R32" s="12">
        <f>Q32*1/2*1.25*PI()/4*$B$9^2*$B$14^3</f>
        <v>41.078642440680802</v>
      </c>
      <c r="S32" s="10">
        <f t="shared" si="16"/>
        <v>8.3684723199172598E-2</v>
      </c>
    </row>
    <row r="35" spans="3:19">
      <c r="P35" s="7" t="s">
        <v>30</v>
      </c>
      <c r="Q35" s="10">
        <f>SUM(Q23:Q32)</f>
        <v>0.49859185916220244</v>
      </c>
      <c r="R35" s="7" t="s">
        <v>31</v>
      </c>
      <c r="S35" s="5">
        <f>SUM(S23:S34)</f>
        <v>0.4985918591621295</v>
      </c>
    </row>
    <row r="36" spans="3:19">
      <c r="P36" s="7" t="s">
        <v>29</v>
      </c>
      <c r="Q36" s="13">
        <f>SUM(R23:R32)</f>
        <v>244.7457065443206</v>
      </c>
      <c r="R36" s="7" t="s">
        <v>39</v>
      </c>
    </row>
    <row r="37" spans="3:19">
      <c r="P37" s="7" t="s">
        <v>28</v>
      </c>
      <c r="Q37" s="13">
        <f>1/2*PI()*0.5^2*1.25*10^3 * 0.593</f>
        <v>291.08819430917924</v>
      </c>
      <c r="R37" s="7" t="s">
        <v>39</v>
      </c>
    </row>
    <row r="38" spans="3:19">
      <c r="C38" s="5"/>
      <c r="D38" s="6"/>
      <c r="E38" s="5"/>
      <c r="F38" s="6"/>
      <c r="G38" s="6"/>
      <c r="I38" s="6"/>
      <c r="J38" s="6"/>
    </row>
    <row r="39" spans="3:19">
      <c r="C39" s="5"/>
      <c r="D39" s="6"/>
      <c r="E39" s="5"/>
      <c r="F39" s="6"/>
      <c r="G39" s="6"/>
      <c r="I39" s="6"/>
      <c r="J39" s="6"/>
    </row>
    <row r="40" spans="3:19">
      <c r="C40" s="5"/>
      <c r="D40" s="6"/>
      <c r="E40" s="5"/>
      <c r="F40" s="6"/>
      <c r="G40" s="6"/>
      <c r="I40" s="6"/>
      <c r="J40" s="6"/>
    </row>
    <row r="41" spans="3:19">
      <c r="C41" s="5"/>
      <c r="D41" s="6"/>
      <c r="E41" s="5"/>
      <c r="F41" s="6"/>
      <c r="G41" s="6"/>
      <c r="I41" s="6"/>
      <c r="J41" s="6"/>
    </row>
    <row r="42" spans="3:19">
      <c r="C42" s="5"/>
      <c r="D42" s="6"/>
      <c r="E42" s="5"/>
      <c r="F42" s="6"/>
      <c r="G42" s="6"/>
      <c r="I42" s="6"/>
      <c r="J42" s="6"/>
    </row>
    <row r="43" spans="3:19">
      <c r="C43" s="5"/>
      <c r="D43" s="6"/>
      <c r="E43" s="5"/>
      <c r="F43" s="6"/>
      <c r="G43" s="6"/>
      <c r="I43" s="6"/>
      <c r="J43" s="6"/>
    </row>
    <row r="44" spans="3:19">
      <c r="C44" s="5"/>
      <c r="D44" s="6"/>
      <c r="E44" s="5"/>
      <c r="F44" s="6"/>
      <c r="G44" s="6"/>
      <c r="I44" s="6"/>
    </row>
    <row r="45" spans="3:19">
      <c r="C45" s="5"/>
      <c r="D45" s="6"/>
      <c r="E45" s="5"/>
      <c r="F45" s="6"/>
      <c r="G45" s="6"/>
      <c r="I45" s="6"/>
    </row>
    <row r="46" spans="3:19">
      <c r="C46" s="5"/>
      <c r="D46" s="6"/>
      <c r="E46" s="5"/>
      <c r="F46" s="6"/>
      <c r="G46" s="6"/>
      <c r="I46" s="6"/>
    </row>
    <row r="47" spans="3:19">
      <c r="C47" s="5"/>
      <c r="D47" s="6"/>
      <c r="E47" s="5"/>
      <c r="F47" s="6"/>
      <c r="G47" s="6"/>
      <c r="I47" s="6"/>
    </row>
  </sheetData>
  <mergeCells count="2">
    <mergeCell ref="M12:O12"/>
    <mergeCell ref="P12:R1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4B847-D5F9-434E-B599-EDB965C844D2}">
  <sheetPr codeName="Sheet4"/>
  <dimension ref="A2:AF321"/>
  <sheetViews>
    <sheetView zoomScale="40" zoomScaleNormal="40" workbookViewId="0">
      <selection activeCell="F76" sqref="F76"/>
    </sheetView>
  </sheetViews>
  <sheetFormatPr defaultColWidth="8.81640625" defaultRowHeight="14.5"/>
  <cols>
    <col min="1" max="4" width="8.81640625" style="2"/>
    <col min="5" max="5" width="9.54296875" style="2" bestFit="1" customWidth="1"/>
    <col min="6" max="6" width="10" style="2" bestFit="1" customWidth="1"/>
    <col min="7" max="7" width="8.81640625" style="2"/>
    <col min="8" max="8" width="8.54296875" style="2" customWidth="1"/>
    <col min="9" max="12" width="8.81640625" style="2"/>
    <col min="13" max="13" width="10.81640625" style="2" customWidth="1"/>
    <col min="14" max="16" width="8.81640625" style="2"/>
    <col min="17" max="17" width="9.54296875" style="2" bestFit="1" customWidth="1"/>
    <col min="18" max="18" width="8.81640625" style="2"/>
    <col min="19" max="19" width="9.54296875" style="2" bestFit="1" customWidth="1"/>
    <col min="20" max="16384" width="8.81640625" style="2"/>
  </cols>
  <sheetData>
    <row r="2" spans="1:17">
      <c r="A2" s="2" t="s">
        <v>51</v>
      </c>
      <c r="B2" s="2">
        <v>15</v>
      </c>
      <c r="C2" s="2" t="s">
        <v>48</v>
      </c>
      <c r="E2" s="2" t="s">
        <v>58</v>
      </c>
      <c r="N2" s="2" t="s">
        <v>59</v>
      </c>
    </row>
    <row r="3" spans="1:17">
      <c r="A3" s="2" t="s">
        <v>49</v>
      </c>
      <c r="B3" s="2">
        <f>115.5</f>
        <v>115.5</v>
      </c>
      <c r="C3" s="2" t="s">
        <v>41</v>
      </c>
      <c r="E3" s="16"/>
      <c r="F3" s="53" t="s">
        <v>37</v>
      </c>
      <c r="G3" s="53"/>
      <c r="H3" s="53"/>
      <c r="I3" s="53" t="s">
        <v>38</v>
      </c>
      <c r="J3" s="53"/>
      <c r="K3" s="54"/>
      <c r="N3" s="7" t="s">
        <v>16</v>
      </c>
      <c r="O3" s="7" t="s">
        <v>8</v>
      </c>
      <c r="P3" s="7" t="s">
        <v>9</v>
      </c>
      <c r="Q3" s="18" t="s">
        <v>10</v>
      </c>
    </row>
    <row r="4" spans="1:17" ht="17.25" customHeight="1">
      <c r="A4" s="2" t="s">
        <v>20</v>
      </c>
      <c r="B4" s="2">
        <v>236</v>
      </c>
      <c r="C4" s="2" t="s">
        <v>21</v>
      </c>
      <c r="E4" s="7" t="s">
        <v>12</v>
      </c>
      <c r="F4" s="7" t="s">
        <v>16</v>
      </c>
      <c r="G4" s="7" t="s">
        <v>8</v>
      </c>
      <c r="H4" s="7" t="s">
        <v>9</v>
      </c>
      <c r="I4" s="7" t="s">
        <v>16</v>
      </c>
      <c r="J4" s="7" t="s">
        <v>34</v>
      </c>
      <c r="K4" s="7" t="s">
        <v>33</v>
      </c>
      <c r="N4" s="7">
        <v>0</v>
      </c>
      <c r="O4" s="34">
        <f xml:space="preserve"> 0.00007175*N4^3- 0.006199*N4^2 + 0.1372*N4 + 0.6503</f>
        <v>0.65029999999999999</v>
      </c>
      <c r="P4" s="35">
        <f>0.00002264*N4^3 - 0.0001299*N4^2 + 0.0003314*N4 + 0.007</f>
        <v>7.0000000000000001E-3</v>
      </c>
      <c r="Q4" s="7">
        <f>P4/O4</f>
        <v>1.0764262648008612E-2</v>
      </c>
    </row>
    <row r="5" spans="1:17">
      <c r="A5" s="2" t="s">
        <v>40</v>
      </c>
      <c r="B5" s="5">
        <f>B4/2-B3</f>
        <v>2.5</v>
      </c>
      <c r="C5" s="2" t="s">
        <v>41</v>
      </c>
      <c r="E5" s="20"/>
      <c r="F5" s="20"/>
      <c r="G5" s="24"/>
      <c r="H5" s="20"/>
      <c r="I5" s="21"/>
      <c r="J5" s="22"/>
      <c r="K5" s="22"/>
      <c r="N5" s="7">
        <v>5</v>
      </c>
      <c r="O5" s="34">
        <f t="shared" ref="O5:O7" si="0" xml:space="preserve"> 0.00007175*N5^3- 0.006199*N5^2 + 0.1372*N5 + 0.6503</f>
        <v>1.1902937499999999</v>
      </c>
      <c r="P5" s="35">
        <f t="shared" ref="P5:P7" si="1">0.00002264*N5^3 - 0.0001299*N5^2 + 0.0003314*N5 + 0.007</f>
        <v>8.2395000000000003E-3</v>
      </c>
      <c r="Q5" s="7">
        <f t="shared" ref="Q5:Q7" si="2">P5/O5</f>
        <v>6.9222408334077201E-3</v>
      </c>
    </row>
    <row r="6" spans="1:17">
      <c r="A6" s="2" t="s">
        <v>42</v>
      </c>
      <c r="B6" s="2">
        <f>B4/2</f>
        <v>118</v>
      </c>
      <c r="C6" s="2" t="s">
        <v>41</v>
      </c>
      <c r="E6" s="20">
        <v>100000</v>
      </c>
      <c r="F6" s="23">
        <v>10.25</v>
      </c>
      <c r="G6" s="24">
        <v>1.5904</v>
      </c>
      <c r="H6" s="20">
        <v>3.2559999999999999E-2</v>
      </c>
      <c r="I6" s="21">
        <f xml:space="preserve"> 195.23*E6^-0.258</f>
        <v>10.012592799663414</v>
      </c>
      <c r="J6" s="22">
        <f>4.944*E6^-0.099</f>
        <v>1.5815337422314268</v>
      </c>
      <c r="K6" s="22">
        <f>17.582*E6^-0.554</f>
        <v>2.9858519897582359E-2</v>
      </c>
      <c r="N6" s="7">
        <v>10</v>
      </c>
      <c r="O6" s="34">
        <f t="shared" si="0"/>
        <v>1.4741499999999998</v>
      </c>
      <c r="P6" s="35">
        <f t="shared" si="1"/>
        <v>1.9963999999999999E-2</v>
      </c>
      <c r="Q6" s="7">
        <f t="shared" si="2"/>
        <v>1.3542719533290372E-2</v>
      </c>
    </row>
    <row r="7" spans="1:17">
      <c r="A7" s="2" t="s">
        <v>35</v>
      </c>
      <c r="B7" s="2">
        <v>6.5</v>
      </c>
      <c r="C7" s="2" t="s">
        <v>50</v>
      </c>
      <c r="E7" s="20">
        <v>200000</v>
      </c>
      <c r="F7" s="20">
        <v>8.25</v>
      </c>
      <c r="G7" s="24">
        <v>1.4878</v>
      </c>
      <c r="H7" s="20">
        <v>1.8599999999999998E-2</v>
      </c>
      <c r="I7" s="21">
        <f t="shared" ref="I7:I9" si="3" xml:space="preserve"> 195.23*E7^-0.258</f>
        <v>8.3729946825239967</v>
      </c>
      <c r="J7" s="22">
        <f t="shared" ref="J7:J9" si="4">4.944*E7^-0.099</f>
        <v>1.4766463373283478</v>
      </c>
      <c r="K7" s="22">
        <f t="shared" ref="K7:K9" si="5">17.582*E7^-0.554</f>
        <v>2.0337504316477233E-2</v>
      </c>
      <c r="N7" s="7">
        <v>15</v>
      </c>
      <c r="O7" s="34">
        <f t="shared" si="0"/>
        <v>1.5556812500000001</v>
      </c>
      <c r="P7" s="35">
        <f t="shared" si="1"/>
        <v>5.9153500000000005E-2</v>
      </c>
      <c r="Q7" s="7">
        <f t="shared" si="2"/>
        <v>3.8024177510656502E-2</v>
      </c>
    </row>
    <row r="8" spans="1:17">
      <c r="A8" s="2" t="s">
        <v>18</v>
      </c>
      <c r="B8" s="6">
        <f>B7*2*PI()/60</f>
        <v>0.68067840827778858</v>
      </c>
      <c r="C8" s="3" t="s">
        <v>19</v>
      </c>
      <c r="E8" s="20">
        <v>500000</v>
      </c>
      <c r="F8" s="20">
        <v>6.25</v>
      </c>
      <c r="G8" s="24">
        <v>1.3092999999999999</v>
      </c>
      <c r="H8" s="20">
        <v>1.1469999999999999E-2</v>
      </c>
      <c r="I8" s="21">
        <f t="shared" si="3"/>
        <v>6.6101648915525208</v>
      </c>
      <c r="J8" s="22">
        <f t="shared" si="4"/>
        <v>1.3485915422465804</v>
      </c>
      <c r="K8" s="22">
        <f t="shared" si="5"/>
        <v>1.2241619976271415E-2</v>
      </c>
    </row>
    <row r="9" spans="1:17">
      <c r="A9" s="2" t="s">
        <v>46</v>
      </c>
      <c r="B9" s="31">
        <f>B8*B6</f>
        <v>80.320052176779058</v>
      </c>
      <c r="C9" s="2" t="s">
        <v>17</v>
      </c>
      <c r="E9" s="20">
        <v>1000000</v>
      </c>
      <c r="F9" s="20">
        <v>5.75</v>
      </c>
      <c r="G9" s="24">
        <v>1.2853000000000001</v>
      </c>
      <c r="H9" s="20">
        <v>9.0100000000000006E-3</v>
      </c>
      <c r="I9" s="21">
        <f t="shared" si="3"/>
        <v>5.5277265933991293</v>
      </c>
      <c r="J9" s="22">
        <f t="shared" si="4"/>
        <v>1.2591528768780442</v>
      </c>
      <c r="K9" s="22">
        <f t="shared" si="5"/>
        <v>8.338122584845618E-3</v>
      </c>
      <c r="N9" s="7">
        <v>4.6243504943415612</v>
      </c>
      <c r="O9" s="34">
        <f t="shared" ref="O9" si="6" xml:space="preserve"> 0.00007175*N9^3- 0.006199*N9^2 + 0.1372*N9 + 0.6503</f>
        <v>1.1592929990702401</v>
      </c>
      <c r="P9" s="35">
        <f t="shared" ref="P9" si="7">0.00002264*N9^3 - 0.0001299*N9^2 + 0.0003314*N9 + 0.007</f>
        <v>7.9935167824412099E-3</v>
      </c>
      <c r="Q9" s="7">
        <f t="shared" ref="Q9" si="8">P9/O9</f>
        <v>6.8951652333379548E-3</v>
      </c>
    </row>
    <row r="10" spans="1:17">
      <c r="A10" s="2" t="s">
        <v>11</v>
      </c>
      <c r="B10" s="2">
        <v>10</v>
      </c>
      <c r="C10" s="2" t="s">
        <v>17</v>
      </c>
    </row>
    <row r="11" spans="1:17">
      <c r="A11" s="2" t="s">
        <v>22</v>
      </c>
      <c r="B11" s="6">
        <f>B8*B6/B10</f>
        <v>8.0320052176779058</v>
      </c>
      <c r="C11" s="2" t="s">
        <v>31</v>
      </c>
    </row>
    <row r="12" spans="1:17">
      <c r="A12" s="2" t="s">
        <v>13</v>
      </c>
      <c r="B12" s="4">
        <f>1.506*0.00001</f>
        <v>1.5060000000000001E-5</v>
      </c>
      <c r="C12" s="2" t="s">
        <v>36</v>
      </c>
    </row>
    <row r="13" spans="1:17">
      <c r="A13" s="2" t="s">
        <v>23</v>
      </c>
      <c r="B13" s="2">
        <v>3</v>
      </c>
    </row>
    <row r="14" spans="1:17">
      <c r="A14" s="2" t="s">
        <v>26</v>
      </c>
      <c r="B14" s="19">
        <f>(B6-B5)/B15</f>
        <v>5.7750000000000004</v>
      </c>
    </row>
    <row r="15" spans="1:17">
      <c r="A15" s="2" t="s">
        <v>32</v>
      </c>
      <c r="B15" s="2">
        <v>20</v>
      </c>
    </row>
    <row r="16" spans="1:17">
      <c r="A16" s="2" t="s">
        <v>52</v>
      </c>
      <c r="B16" s="25">
        <f>B2*1000000/(1/2*1.25*PI()*B6^2*B10^3)</f>
        <v>0.54865248983129677</v>
      </c>
      <c r="C16" s="2" t="s">
        <v>53</v>
      </c>
      <c r="N16" s="17"/>
    </row>
    <row r="17" spans="1:28">
      <c r="E17" s="55" t="s">
        <v>80</v>
      </c>
      <c r="F17" s="55"/>
      <c r="G17" s="55"/>
      <c r="N17" s="56" t="s">
        <v>82</v>
      </c>
      <c r="O17" s="56"/>
      <c r="P17" s="56"/>
    </row>
    <row r="18" spans="1:28">
      <c r="A18" s="7" t="s">
        <v>4</v>
      </c>
      <c r="B18" s="7" t="s">
        <v>0</v>
      </c>
      <c r="C18" s="7" t="s">
        <v>1</v>
      </c>
      <c r="D18" s="7" t="s">
        <v>2</v>
      </c>
      <c r="E18" s="7" t="s">
        <v>16</v>
      </c>
      <c r="F18" s="7" t="s">
        <v>34</v>
      </c>
      <c r="G18" s="7" t="s">
        <v>33</v>
      </c>
      <c r="H18" s="7" t="s">
        <v>3</v>
      </c>
      <c r="I18" s="7" t="s">
        <v>5</v>
      </c>
      <c r="J18" s="7" t="s">
        <v>24</v>
      </c>
      <c r="K18" s="7" t="s">
        <v>25</v>
      </c>
      <c r="L18" s="7" t="s">
        <v>11</v>
      </c>
      <c r="M18" s="7" t="s">
        <v>12</v>
      </c>
      <c r="N18" s="7" t="s">
        <v>16</v>
      </c>
      <c r="O18" s="7" t="s">
        <v>34</v>
      </c>
      <c r="P18" s="7" t="s">
        <v>33</v>
      </c>
      <c r="Q18" s="7" t="s">
        <v>27</v>
      </c>
      <c r="R18" s="7" t="s">
        <v>47</v>
      </c>
      <c r="S18" s="18" t="s">
        <v>45</v>
      </c>
      <c r="V18" s="7" t="str">
        <f>A18</f>
        <v>r</v>
      </c>
      <c r="W18" s="7" t="str">
        <f>B18</f>
        <v>r/R</v>
      </c>
      <c r="X18" s="7" t="str">
        <f>C18</f>
        <v>lr</v>
      </c>
      <c r="Y18" s="7" t="str">
        <f>D18</f>
        <v>fi</v>
      </c>
      <c r="Z18" s="7" t="str">
        <f t="shared" ref="Z18:Z38" si="9">I18</f>
        <v>theta</v>
      </c>
      <c r="AA18" s="7" t="str">
        <f t="shared" ref="AA18:AA38" si="10">H18</f>
        <v>c</v>
      </c>
      <c r="AB18" s="7" t="s">
        <v>3</v>
      </c>
    </row>
    <row r="19" spans="1:28">
      <c r="A19" s="7">
        <f>$B$5+$B$14/2</f>
        <v>5.3875000000000002</v>
      </c>
      <c r="B19" s="7">
        <f t="shared" ref="B19:B38" si="11">A19/$B$6</f>
        <v>4.5656779661016951E-2</v>
      </c>
      <c r="C19" s="10">
        <f t="shared" ref="C19:C38" si="12">B19*$B$11</f>
        <v>0.36671549245965862</v>
      </c>
      <c r="D19" s="12">
        <f>2/3*ATAN(1/C19)*180/PI()</f>
        <v>46.574153756976692</v>
      </c>
      <c r="E19" s="14">
        <v>4.5999999999999996</v>
      </c>
      <c r="F19" s="15">
        <v>1.1599999999999999</v>
      </c>
      <c r="G19" s="15">
        <v>8.0000000000000002E-3</v>
      </c>
      <c r="H19" s="10">
        <f t="shared" ref="H19:H38" si="13">8*PI()*A19/($B$13*F19)*(1-COS(D19/180*PI()))</f>
        <v>12.162301198275824</v>
      </c>
      <c r="I19" s="12">
        <f>D19-E19</f>
        <v>41.97415375697669</v>
      </c>
      <c r="J19" s="10">
        <f>1/(1+SIN(D19/180*PI())*TAN(D19/180*PI())*8*PI()*A19/($B$13*F19*H19))</f>
        <v>0.28945864937747717</v>
      </c>
      <c r="K19" s="10">
        <f>(1-3*J19)/(4*J19-1)</f>
        <v>0.83393662697625726</v>
      </c>
      <c r="L19" s="12">
        <f t="shared" ref="L19:L38" si="14">$B$10*(1-J19)/SIN(D19/180*PI())</f>
        <v>9.7835045414314887</v>
      </c>
      <c r="M19" s="13">
        <f t="shared" ref="M19:M38" si="15">L19*H19/$B$12</f>
        <v>7901057.7030271674</v>
      </c>
      <c r="N19" s="14">
        <f>E19</f>
        <v>4.5999999999999996</v>
      </c>
      <c r="O19" s="14">
        <f t="shared" ref="O19:P19" si="16">F19</f>
        <v>1.1599999999999999</v>
      </c>
      <c r="P19" s="26">
        <f t="shared" si="16"/>
        <v>8.0000000000000002E-3</v>
      </c>
      <c r="Q19" s="10">
        <f t="shared" ref="Q19:Q38" si="17">$B$13*$B$8/(PI()/4*$B$4^2*$B$10)*O19*H19/SIN(D19/180*PI()) *(1-P19/O19*_xlfn.COT(D19/180*PI())) *  (1-J19)^2 *A19*$B$14</f>
        <v>1.4151483008071992E-3</v>
      </c>
      <c r="R19" s="12">
        <f t="shared" ref="R19:R38" si="18">Q19*1/2*1.25*PI()/4*$B$4^2*$B$10^3 /1000000</f>
        <v>3.868974424710088E-2</v>
      </c>
      <c r="S19" s="10">
        <f t="shared" ref="S19:S38" si="19">8/$B$11^2*K19*(1-J19)*(1-P19/O19*_xlfn.COT(D19/180*PI()))*C19^3*($C$20-$C$19)</f>
        <v>1.4151483008071983E-3</v>
      </c>
      <c r="V19" s="30">
        <f t="shared" ref="V19:V38" si="20">A19</f>
        <v>5.3875000000000002</v>
      </c>
      <c r="W19" s="10">
        <f t="shared" ref="W19:W38" si="21">B19</f>
        <v>4.5656779661016951E-2</v>
      </c>
      <c r="X19" s="12">
        <f t="shared" ref="X19:X38" si="22">C19</f>
        <v>0.36671549245965862</v>
      </c>
      <c r="Y19" s="12">
        <f t="shared" ref="Y19:Y38" si="23">D19</f>
        <v>46.574153756976692</v>
      </c>
      <c r="Z19" s="12">
        <f t="shared" si="9"/>
        <v>41.97415375697669</v>
      </c>
      <c r="AA19" s="10">
        <f t="shared" si="10"/>
        <v>12.162301198275824</v>
      </c>
      <c r="AB19" s="10">
        <f>$F$50*W19+$F$51</f>
        <v>7.0099141015861424</v>
      </c>
    </row>
    <row r="20" spans="1:28">
      <c r="A20" s="33">
        <f t="shared" ref="A20:A38" si="24">A19+$B$14</f>
        <v>11.162500000000001</v>
      </c>
      <c r="B20" s="7">
        <f t="shared" si="11"/>
        <v>9.4597457627118658E-2</v>
      </c>
      <c r="C20" s="10">
        <f t="shared" si="12"/>
        <v>0.75980727324008168</v>
      </c>
      <c r="D20" s="12">
        <f t="shared" ref="D20:D28" si="25">2/3*ATAN(1/C20)*180/PI()</f>
        <v>35.181444120134159</v>
      </c>
      <c r="E20" s="14">
        <v>4.5999999999999996</v>
      </c>
      <c r="F20" s="15">
        <v>1.1599999999999999</v>
      </c>
      <c r="G20" s="15">
        <v>8.0000000000000002E-3</v>
      </c>
      <c r="H20" s="10">
        <f t="shared" si="13"/>
        <v>14.72602916174494</v>
      </c>
      <c r="I20" s="12">
        <f t="shared" ref="I20:I28" si="26">D20-E20</f>
        <v>30.581444120134158</v>
      </c>
      <c r="J20" s="10">
        <f t="shared" ref="J20:J38" si="27">1/(1+SIN(D20/180*PI())*TAN(D20/180*PI())*8*PI()*A20/($B$13*F20*H20))</f>
        <v>0.3102224136473723</v>
      </c>
      <c r="K20" s="10">
        <f t="shared" ref="K20:K28" si="28">(1-3*J20)/(4*J20-1)</f>
        <v>0.28781957936730912</v>
      </c>
      <c r="L20" s="12">
        <f t="shared" si="14"/>
        <v>11.971820928084465</v>
      </c>
      <c r="M20" s="13">
        <f t="shared" si="15"/>
        <v>11706333.605986731</v>
      </c>
      <c r="N20" s="14">
        <f t="shared" ref="N20:N38" si="29">E20</f>
        <v>4.5999999999999996</v>
      </c>
      <c r="O20" s="14">
        <f t="shared" ref="O20:O38" si="30">F20</f>
        <v>1.1599999999999999</v>
      </c>
      <c r="P20" s="26">
        <f t="shared" ref="P20:P38" si="31">G20</f>
        <v>8.0000000000000002E-3</v>
      </c>
      <c r="Q20" s="10">
        <f t="shared" si="17"/>
        <v>4.2034513378165928E-3</v>
      </c>
      <c r="R20" s="12">
        <f t="shared" si="18"/>
        <v>0.11492114086028563</v>
      </c>
      <c r="S20" s="10">
        <f t="shared" si="19"/>
        <v>4.2034513378165954E-3</v>
      </c>
      <c r="V20" s="30">
        <f t="shared" si="20"/>
        <v>11.162500000000001</v>
      </c>
      <c r="W20" s="10">
        <f t="shared" si="21"/>
        <v>9.4597457627118658E-2</v>
      </c>
      <c r="X20" s="12">
        <f t="shared" si="22"/>
        <v>0.75980727324008168</v>
      </c>
      <c r="Y20" s="12">
        <f t="shared" si="23"/>
        <v>35.181444120134159</v>
      </c>
      <c r="Z20" s="12">
        <f t="shared" si="9"/>
        <v>30.581444120134158</v>
      </c>
      <c r="AA20" s="10">
        <f t="shared" si="10"/>
        <v>14.72602916174494</v>
      </c>
      <c r="AB20" s="10">
        <f t="shared" ref="AB20:AB38" si="32">$F$50*W20+$F$51</f>
        <v>6.7942740255474252</v>
      </c>
    </row>
    <row r="21" spans="1:28">
      <c r="A21" s="7">
        <f t="shared" si="24"/>
        <v>16.9375</v>
      </c>
      <c r="B21" s="7">
        <f t="shared" si="11"/>
        <v>0.14353813559322035</v>
      </c>
      <c r="C21" s="10">
        <f t="shared" si="12"/>
        <v>1.1528990540205046</v>
      </c>
      <c r="D21" s="12">
        <f t="shared" si="25"/>
        <v>27.291780108244488</v>
      </c>
      <c r="E21" s="14">
        <v>4.5999999999999996</v>
      </c>
      <c r="F21" s="15">
        <v>1.1599999999999999</v>
      </c>
      <c r="G21" s="15">
        <v>8.0000000000000002E-3</v>
      </c>
      <c r="H21" s="10">
        <f t="shared" si="13"/>
        <v>13.616682986240226</v>
      </c>
      <c r="I21" s="12">
        <f t="shared" si="26"/>
        <v>22.691780108244487</v>
      </c>
      <c r="J21" s="10">
        <f t="shared" si="27"/>
        <v>0.31997331586318256</v>
      </c>
      <c r="K21" s="10">
        <f t="shared" si="28"/>
        <v>0.14319763154007181</v>
      </c>
      <c r="L21" s="12">
        <f t="shared" si="14"/>
        <v>14.830838819015547</v>
      </c>
      <c r="M21" s="13">
        <f t="shared" si="15"/>
        <v>13409484.104818065</v>
      </c>
      <c r="N21" s="14">
        <f t="shared" si="29"/>
        <v>4.5999999999999996</v>
      </c>
      <c r="O21" s="14">
        <f t="shared" si="30"/>
        <v>1.1599999999999999</v>
      </c>
      <c r="P21" s="26">
        <f t="shared" si="31"/>
        <v>8.0000000000000002E-3</v>
      </c>
      <c r="Q21" s="10">
        <f t="shared" si="17"/>
        <v>7.1767442336347536E-3</v>
      </c>
      <c r="R21" s="12">
        <f t="shared" si="18"/>
        <v>0.19621010657879739</v>
      </c>
      <c r="S21" s="10">
        <f t="shared" si="19"/>
        <v>7.1767442336347796E-3</v>
      </c>
      <c r="V21" s="30">
        <f t="shared" si="20"/>
        <v>16.9375</v>
      </c>
      <c r="W21" s="10">
        <f t="shared" si="21"/>
        <v>0.14353813559322035</v>
      </c>
      <c r="X21" s="12">
        <f t="shared" si="22"/>
        <v>1.1528990540205046</v>
      </c>
      <c r="Y21" s="12">
        <f t="shared" si="23"/>
        <v>27.291780108244488</v>
      </c>
      <c r="Z21" s="12">
        <f t="shared" si="9"/>
        <v>22.691780108244487</v>
      </c>
      <c r="AA21" s="10">
        <f t="shared" si="10"/>
        <v>13.616682986240226</v>
      </c>
      <c r="AB21" s="10">
        <f t="shared" si="32"/>
        <v>6.5786339495087081</v>
      </c>
    </row>
    <row r="22" spans="1:28">
      <c r="A22" s="7">
        <f t="shared" si="24"/>
        <v>22.712499999999999</v>
      </c>
      <c r="B22" s="7">
        <f t="shared" si="11"/>
        <v>0.19247881355932203</v>
      </c>
      <c r="C22" s="10">
        <f t="shared" si="12"/>
        <v>1.5459908348009275</v>
      </c>
      <c r="D22" s="12">
        <f t="shared" si="25"/>
        <v>21.930784596096274</v>
      </c>
      <c r="E22" s="14">
        <v>4.5999999999999996</v>
      </c>
      <c r="F22" s="15">
        <v>1.1599999999999999</v>
      </c>
      <c r="G22" s="15">
        <v>8.0000000000000002E-3</v>
      </c>
      <c r="H22" s="10">
        <f t="shared" si="13"/>
        <v>11.869975509606293</v>
      </c>
      <c r="I22" s="12">
        <f t="shared" si="26"/>
        <v>17.330784596096272</v>
      </c>
      <c r="J22" s="10">
        <f t="shared" si="27"/>
        <v>0.32488530013349215</v>
      </c>
      <c r="K22" s="10">
        <f t="shared" si="28"/>
        <v>8.4609728325668099E-2</v>
      </c>
      <c r="L22" s="12">
        <f t="shared" si="14"/>
        <v>18.076025638538802</v>
      </c>
      <c r="M22" s="13">
        <f t="shared" si="15"/>
        <v>14247143.535223838</v>
      </c>
      <c r="N22" s="14">
        <f t="shared" si="29"/>
        <v>4.5999999999999996</v>
      </c>
      <c r="O22" s="14">
        <f t="shared" si="30"/>
        <v>1.1599999999999999</v>
      </c>
      <c r="P22" s="26">
        <f t="shared" si="31"/>
        <v>8.0000000000000002E-3</v>
      </c>
      <c r="Q22" s="10">
        <f t="shared" si="17"/>
        <v>1.0112326139575033E-2</v>
      </c>
      <c r="R22" s="12">
        <f t="shared" si="18"/>
        <v>0.27646806476767577</v>
      </c>
      <c r="S22" s="10">
        <f t="shared" si="19"/>
        <v>1.011232613957528E-2</v>
      </c>
      <c r="V22" s="30">
        <f t="shared" si="20"/>
        <v>22.712499999999999</v>
      </c>
      <c r="W22" s="10">
        <f t="shared" si="21"/>
        <v>0.19247881355932203</v>
      </c>
      <c r="X22" s="12">
        <f t="shared" si="22"/>
        <v>1.5459908348009275</v>
      </c>
      <c r="Y22" s="12">
        <f t="shared" si="23"/>
        <v>21.930784596096274</v>
      </c>
      <c r="Z22" s="12">
        <f t="shared" si="9"/>
        <v>17.330784596096272</v>
      </c>
      <c r="AA22" s="10">
        <f t="shared" si="10"/>
        <v>11.869975509606293</v>
      </c>
      <c r="AB22" s="10">
        <f t="shared" si="32"/>
        <v>6.3629938734699909</v>
      </c>
    </row>
    <row r="23" spans="1:28">
      <c r="A23" s="7">
        <f t="shared" si="24"/>
        <v>28.487499999999997</v>
      </c>
      <c r="B23" s="7">
        <f t="shared" si="11"/>
        <v>0.24141949152542372</v>
      </c>
      <c r="C23" s="10">
        <f t="shared" si="12"/>
        <v>1.9390826155813503</v>
      </c>
      <c r="D23" s="12">
        <f t="shared" si="25"/>
        <v>18.187006838531182</v>
      </c>
      <c r="E23" s="14">
        <v>4.5999999999999996</v>
      </c>
      <c r="F23" s="15">
        <v>1.1599999999999999</v>
      </c>
      <c r="G23" s="15">
        <v>8.0000000000000002E-3</v>
      </c>
      <c r="H23" s="10">
        <f t="shared" si="13"/>
        <v>10.278093235998123</v>
      </c>
      <c r="I23" s="12">
        <f t="shared" si="26"/>
        <v>13.587006838531183</v>
      </c>
      <c r="J23" s="10">
        <f t="shared" si="27"/>
        <v>0.32759130262747382</v>
      </c>
      <c r="K23" s="10">
        <f t="shared" si="28"/>
        <v>5.5502651502976084E-2</v>
      </c>
      <c r="L23" s="12">
        <f t="shared" si="14"/>
        <v>21.543310688775396</v>
      </c>
      <c r="M23" s="13">
        <f t="shared" si="15"/>
        <v>14702799.194641994</v>
      </c>
      <c r="N23" s="14">
        <f t="shared" si="29"/>
        <v>4.5999999999999996</v>
      </c>
      <c r="O23" s="14">
        <f t="shared" si="30"/>
        <v>1.1599999999999999</v>
      </c>
      <c r="P23" s="26">
        <f t="shared" si="31"/>
        <v>8.0000000000000002E-3</v>
      </c>
      <c r="Q23" s="10">
        <f t="shared" si="17"/>
        <v>1.2985485987572357E-2</v>
      </c>
      <c r="R23" s="12">
        <f t="shared" si="18"/>
        <v>0.35501942199055414</v>
      </c>
      <c r="S23" s="10">
        <f t="shared" si="19"/>
        <v>1.2985485987571875E-2</v>
      </c>
      <c r="V23" s="30">
        <f t="shared" si="20"/>
        <v>28.487499999999997</v>
      </c>
      <c r="W23" s="10">
        <f t="shared" si="21"/>
        <v>0.24141949152542372</v>
      </c>
      <c r="X23" s="12">
        <f t="shared" si="22"/>
        <v>1.9390826155813503</v>
      </c>
      <c r="Y23" s="12">
        <f t="shared" si="23"/>
        <v>18.187006838531182</v>
      </c>
      <c r="Z23" s="12">
        <f t="shared" si="9"/>
        <v>13.587006838531183</v>
      </c>
      <c r="AA23" s="10">
        <f t="shared" si="10"/>
        <v>10.278093235998123</v>
      </c>
      <c r="AB23" s="10">
        <f t="shared" si="32"/>
        <v>6.1473537974312729</v>
      </c>
    </row>
    <row r="24" spans="1:28">
      <c r="A24" s="7">
        <f t="shared" si="24"/>
        <v>34.262499999999996</v>
      </c>
      <c r="B24" s="7">
        <f t="shared" si="11"/>
        <v>0.29036016949152538</v>
      </c>
      <c r="C24" s="10">
        <f t="shared" si="12"/>
        <v>2.3321743963617729</v>
      </c>
      <c r="D24" s="12">
        <f t="shared" si="25"/>
        <v>15.472599085464735</v>
      </c>
      <c r="E24" s="14">
        <v>4.5999999999999996</v>
      </c>
      <c r="F24" s="15">
        <v>1.1599999999999999</v>
      </c>
      <c r="G24" s="15">
        <v>8.0000000000000002E-3</v>
      </c>
      <c r="H24" s="10">
        <f t="shared" si="13"/>
        <v>8.9678858163356683</v>
      </c>
      <c r="I24" s="12">
        <f t="shared" si="26"/>
        <v>10.872599085464735</v>
      </c>
      <c r="J24" s="10">
        <f t="shared" si="27"/>
        <v>0.3292067575017697</v>
      </c>
      <c r="K24" s="10">
        <f t="shared" si="28"/>
        <v>3.9074088768291812E-2</v>
      </c>
      <c r="L24" s="12">
        <f t="shared" si="14"/>
        <v>25.14429575134919</v>
      </c>
      <c r="M24" s="13">
        <f t="shared" si="15"/>
        <v>14972853.468145655</v>
      </c>
      <c r="N24" s="14">
        <f t="shared" si="29"/>
        <v>4.5999999999999996</v>
      </c>
      <c r="O24" s="14">
        <f t="shared" si="30"/>
        <v>1.1599999999999999</v>
      </c>
      <c r="P24" s="26">
        <f t="shared" si="31"/>
        <v>8.0000000000000002E-3</v>
      </c>
      <c r="Q24" s="10">
        <f t="shared" si="17"/>
        <v>1.5802992192766565E-2</v>
      </c>
      <c r="R24" s="12">
        <f t="shared" si="18"/>
        <v>0.43204922475497481</v>
      </c>
      <c r="S24" s="10">
        <f t="shared" si="19"/>
        <v>1.5802992192767429E-2</v>
      </c>
      <c r="V24" s="30">
        <f t="shared" si="20"/>
        <v>34.262499999999996</v>
      </c>
      <c r="W24" s="10">
        <f t="shared" si="21"/>
        <v>0.29036016949152538</v>
      </c>
      <c r="X24" s="12">
        <f t="shared" si="22"/>
        <v>2.3321743963617729</v>
      </c>
      <c r="Y24" s="12">
        <f t="shared" si="23"/>
        <v>15.472599085464735</v>
      </c>
      <c r="Z24" s="12">
        <f t="shared" si="9"/>
        <v>10.872599085464735</v>
      </c>
      <c r="AA24" s="10">
        <f t="shared" si="10"/>
        <v>8.9678858163356683</v>
      </c>
      <c r="AB24" s="10">
        <f t="shared" si="32"/>
        <v>5.9317137213925557</v>
      </c>
    </row>
    <row r="25" spans="1:28">
      <c r="A25" s="7">
        <f t="shared" si="24"/>
        <v>40.037499999999994</v>
      </c>
      <c r="B25" s="7">
        <f t="shared" si="11"/>
        <v>0.33930084745762706</v>
      </c>
      <c r="C25" s="10">
        <f t="shared" si="12"/>
        <v>2.7252661771421955</v>
      </c>
      <c r="D25" s="12">
        <f t="shared" si="25"/>
        <v>13.433291424755906</v>
      </c>
      <c r="E25" s="14">
        <v>4.5999999999999996</v>
      </c>
      <c r="F25" s="15">
        <v>1.1599999999999999</v>
      </c>
      <c r="G25" s="15">
        <v>8.0000000000000002E-3</v>
      </c>
      <c r="H25" s="10">
        <f t="shared" si="13"/>
        <v>7.9109176801424939</v>
      </c>
      <c r="I25" s="12">
        <f t="shared" si="26"/>
        <v>8.833291424755906</v>
      </c>
      <c r="J25" s="10">
        <f t="shared" si="27"/>
        <v>0.33023697551199122</v>
      </c>
      <c r="K25" s="10">
        <f t="shared" si="28"/>
        <v>2.8942620919946285E-2</v>
      </c>
      <c r="L25" s="12">
        <f t="shared" si="14"/>
        <v>28.830188688841396</v>
      </c>
      <c r="M25" s="13">
        <f t="shared" si="15"/>
        <v>15144306.070411654</v>
      </c>
      <c r="N25" s="14">
        <f t="shared" si="29"/>
        <v>4.5999999999999996</v>
      </c>
      <c r="O25" s="14">
        <f t="shared" si="30"/>
        <v>1.1599999999999999</v>
      </c>
      <c r="P25" s="26">
        <f t="shared" si="31"/>
        <v>8.0000000000000002E-3</v>
      </c>
      <c r="Q25" s="10">
        <f t="shared" si="17"/>
        <v>1.8573649822265226E-2</v>
      </c>
      <c r="R25" s="12">
        <f t="shared" si="18"/>
        <v>0.50779820104278672</v>
      </c>
      <c r="S25" s="10">
        <f t="shared" si="19"/>
        <v>1.8573649822266832E-2</v>
      </c>
      <c r="V25" s="30">
        <f t="shared" si="20"/>
        <v>40.037499999999994</v>
      </c>
      <c r="W25" s="10">
        <f t="shared" si="21"/>
        <v>0.33930084745762706</v>
      </c>
      <c r="X25" s="12">
        <f t="shared" si="22"/>
        <v>2.7252661771421955</v>
      </c>
      <c r="Y25" s="12">
        <f t="shared" si="23"/>
        <v>13.433291424755906</v>
      </c>
      <c r="Z25" s="12">
        <f t="shared" si="9"/>
        <v>8.833291424755906</v>
      </c>
      <c r="AA25" s="10">
        <f t="shared" si="10"/>
        <v>7.9109176801424939</v>
      </c>
      <c r="AB25" s="10">
        <f t="shared" si="32"/>
        <v>5.7160736453538386</v>
      </c>
    </row>
    <row r="26" spans="1:28">
      <c r="A26" s="7">
        <f t="shared" si="24"/>
        <v>45.812499999999993</v>
      </c>
      <c r="B26" s="7">
        <f t="shared" si="11"/>
        <v>0.38824152542372875</v>
      </c>
      <c r="C26" s="10">
        <f t="shared" si="12"/>
        <v>3.1183579579226186</v>
      </c>
      <c r="D26" s="12">
        <f t="shared" si="25"/>
        <v>11.853393032071049</v>
      </c>
      <c r="E26" s="14">
        <v>4.5999999999999996</v>
      </c>
      <c r="F26" s="15">
        <v>1.1599999999999999</v>
      </c>
      <c r="G26" s="15">
        <v>8.0000000000000002E-3</v>
      </c>
      <c r="H26" s="10">
        <f t="shared" si="13"/>
        <v>7.0551328098344168</v>
      </c>
      <c r="I26" s="12">
        <f t="shared" si="26"/>
        <v>7.2533930320710489</v>
      </c>
      <c r="J26" s="10">
        <f t="shared" si="27"/>
        <v>0.33092987722875988</v>
      </c>
      <c r="K26" s="10">
        <f t="shared" si="28"/>
        <v>2.2273505658915099E-2</v>
      </c>
      <c r="L26" s="12">
        <f t="shared" si="14"/>
        <v>32.572714851672679</v>
      </c>
      <c r="M26" s="13">
        <f t="shared" si="15"/>
        <v>15259284.811116645</v>
      </c>
      <c r="N26" s="14">
        <f t="shared" si="29"/>
        <v>4.5999999999999996</v>
      </c>
      <c r="O26" s="14">
        <f t="shared" si="30"/>
        <v>1.1599999999999999</v>
      </c>
      <c r="P26" s="26">
        <f t="shared" si="31"/>
        <v>8.0000000000000002E-3</v>
      </c>
      <c r="Q26" s="10">
        <f t="shared" si="17"/>
        <v>2.1304135975506185E-2</v>
      </c>
      <c r="R26" s="12">
        <f t="shared" si="18"/>
        <v>0.58244890081671508</v>
      </c>
      <c r="S26" s="10">
        <f t="shared" si="19"/>
        <v>2.1304135975502039E-2</v>
      </c>
      <c r="V26" s="30">
        <f t="shared" si="20"/>
        <v>45.812499999999993</v>
      </c>
      <c r="W26" s="10">
        <f t="shared" si="21"/>
        <v>0.38824152542372875</v>
      </c>
      <c r="X26" s="12">
        <f t="shared" si="22"/>
        <v>3.1183579579226186</v>
      </c>
      <c r="Y26" s="12">
        <f t="shared" si="23"/>
        <v>11.853393032071049</v>
      </c>
      <c r="Z26" s="12">
        <f t="shared" si="9"/>
        <v>7.2533930320710489</v>
      </c>
      <c r="AA26" s="10">
        <f t="shared" si="10"/>
        <v>7.0551328098344168</v>
      </c>
      <c r="AB26" s="10">
        <f t="shared" si="32"/>
        <v>5.5004335693151214</v>
      </c>
    </row>
    <row r="27" spans="1:28">
      <c r="A27" s="7">
        <f t="shared" si="24"/>
        <v>51.587499999999991</v>
      </c>
      <c r="B27" s="7">
        <f t="shared" si="11"/>
        <v>0.43718220338983044</v>
      </c>
      <c r="C27" s="10">
        <f t="shared" si="12"/>
        <v>3.5114497387030417</v>
      </c>
      <c r="D27" s="12">
        <f t="shared" si="25"/>
        <v>10.597356089207302</v>
      </c>
      <c r="E27" s="14">
        <v>4.5999999999999996</v>
      </c>
      <c r="F27" s="15">
        <v>1.1599999999999999</v>
      </c>
      <c r="G27" s="15">
        <v>8.0000000000000002E-3</v>
      </c>
      <c r="H27" s="10">
        <f t="shared" si="13"/>
        <v>6.3545740864510591</v>
      </c>
      <c r="I27" s="12">
        <f t="shared" si="26"/>
        <v>5.9973560892073028</v>
      </c>
      <c r="J27" s="10">
        <f t="shared" si="27"/>
        <v>0.33141640712084186</v>
      </c>
      <c r="K27" s="10">
        <f t="shared" si="28"/>
        <v>1.7658537267982288E-2</v>
      </c>
      <c r="L27" s="12">
        <f t="shared" si="14"/>
        <v>36.35463870854101</v>
      </c>
      <c r="M27" s="13">
        <f t="shared" si="15"/>
        <v>15339856.909667017</v>
      </c>
      <c r="N27" s="14">
        <f t="shared" si="29"/>
        <v>4.5999999999999996</v>
      </c>
      <c r="O27" s="14">
        <f t="shared" si="30"/>
        <v>1.1599999999999999</v>
      </c>
      <c r="P27" s="26">
        <f t="shared" si="31"/>
        <v>8.0000000000000002E-3</v>
      </c>
      <c r="Q27" s="10">
        <f t="shared" si="17"/>
        <v>2.3999094373317657E-2</v>
      </c>
      <c r="R27" s="12">
        <f t="shared" si="18"/>
        <v>0.65612828205783924</v>
      </c>
      <c r="S27" s="10">
        <f t="shared" si="19"/>
        <v>2.3999094373319659E-2</v>
      </c>
      <c r="V27" s="30">
        <f t="shared" si="20"/>
        <v>51.587499999999991</v>
      </c>
      <c r="W27" s="10">
        <f t="shared" si="21"/>
        <v>0.43718220338983044</v>
      </c>
      <c r="X27" s="12">
        <f t="shared" si="22"/>
        <v>3.5114497387030417</v>
      </c>
      <c r="Y27" s="12">
        <f t="shared" si="23"/>
        <v>10.597356089207302</v>
      </c>
      <c r="Z27" s="12">
        <f t="shared" si="9"/>
        <v>5.9973560892073028</v>
      </c>
      <c r="AA27" s="10">
        <f t="shared" si="10"/>
        <v>6.3545740864510591</v>
      </c>
      <c r="AB27" s="10">
        <f t="shared" si="32"/>
        <v>5.2847934932764042</v>
      </c>
    </row>
    <row r="28" spans="1:28">
      <c r="A28" s="7">
        <f t="shared" si="24"/>
        <v>57.36249999999999</v>
      </c>
      <c r="B28" s="7">
        <f t="shared" si="11"/>
        <v>0.48612288135593212</v>
      </c>
      <c r="C28" s="10">
        <f t="shared" si="12"/>
        <v>3.9045415194834643</v>
      </c>
      <c r="D28" s="12">
        <f t="shared" si="25"/>
        <v>9.5769064543912634</v>
      </c>
      <c r="E28" s="14">
        <v>4.5999999999999996</v>
      </c>
      <c r="F28" s="15">
        <v>1.1599999999999999</v>
      </c>
      <c r="G28" s="15">
        <v>8.0000000000000002E-3</v>
      </c>
      <c r="H28" s="10">
        <f t="shared" si="13"/>
        <v>5.773677848562869</v>
      </c>
      <c r="I28" s="12">
        <f t="shared" si="26"/>
        <v>4.9769064543912638</v>
      </c>
      <c r="J28" s="10">
        <f t="shared" si="27"/>
        <v>0.33177027445003665</v>
      </c>
      <c r="K28" s="10">
        <f t="shared" si="28"/>
        <v>1.4336434240401067E-2</v>
      </c>
      <c r="L28" s="12">
        <f t="shared" si="14"/>
        <v>40.164959249494764</v>
      </c>
      <c r="M28" s="13">
        <f t="shared" si="15"/>
        <v>15398375.531689124</v>
      </c>
      <c r="N28" s="14">
        <f t="shared" si="29"/>
        <v>4.5999999999999996</v>
      </c>
      <c r="O28" s="14">
        <f t="shared" si="30"/>
        <v>1.1599999999999999</v>
      </c>
      <c r="P28" s="26">
        <f t="shared" si="31"/>
        <v>8.0000000000000002E-3</v>
      </c>
      <c r="Q28" s="10">
        <f t="shared" si="17"/>
        <v>2.6661725304065142E-2</v>
      </c>
      <c r="R28" s="12">
        <f t="shared" si="18"/>
        <v>0.72892383972220542</v>
      </c>
      <c r="S28" s="10">
        <f t="shared" si="19"/>
        <v>2.6661725304056871E-2</v>
      </c>
      <c r="V28" s="30">
        <f t="shared" si="20"/>
        <v>57.36249999999999</v>
      </c>
      <c r="W28" s="10">
        <f t="shared" si="21"/>
        <v>0.48612288135593212</v>
      </c>
      <c r="X28" s="12">
        <f t="shared" si="22"/>
        <v>3.9045415194834643</v>
      </c>
      <c r="Y28" s="12">
        <f t="shared" si="23"/>
        <v>9.5769064543912634</v>
      </c>
      <c r="Z28" s="12">
        <f t="shared" si="9"/>
        <v>4.9769064543912638</v>
      </c>
      <c r="AA28" s="10">
        <f t="shared" si="10"/>
        <v>5.773677848562869</v>
      </c>
      <c r="AB28" s="10">
        <f t="shared" si="32"/>
        <v>5.0691534172376862</v>
      </c>
    </row>
    <row r="29" spans="1:28">
      <c r="A29" s="7">
        <f t="shared" si="24"/>
        <v>63.137499999999989</v>
      </c>
      <c r="B29" s="7">
        <f t="shared" si="11"/>
        <v>0.53506355932203375</v>
      </c>
      <c r="C29" s="10">
        <f t="shared" si="12"/>
        <v>4.2976333002638869</v>
      </c>
      <c r="D29" s="12">
        <f t="shared" ref="D29:D38" si="33">2/3*ATAN(1/C29)*180/PI()</f>
        <v>8.7325694739854818</v>
      </c>
      <c r="E29" s="14">
        <v>4.5999999999999996</v>
      </c>
      <c r="F29" s="15">
        <v>1.1599999999999999</v>
      </c>
      <c r="G29" s="15">
        <v>8.0000000000000002E-3</v>
      </c>
      <c r="H29" s="10">
        <f t="shared" si="13"/>
        <v>5.2858638327482845</v>
      </c>
      <c r="I29" s="12">
        <f t="shared" ref="I29:I38" si="34">D29-E29</f>
        <v>4.1325694739854821</v>
      </c>
      <c r="J29" s="10">
        <f t="shared" si="27"/>
        <v>0.33203527322725235</v>
      </c>
      <c r="K29" s="10">
        <f t="shared" ref="K29:K38" si="35">(1-3*J29)/(4*J29-1)</f>
        <v>1.1867396075634997E-2</v>
      </c>
      <c r="L29" s="12">
        <f t="shared" si="14"/>
        <v>43.99636733388072</v>
      </c>
      <c r="M29" s="13">
        <f t="shared" si="15"/>
        <v>15442151.850097487</v>
      </c>
      <c r="N29" s="14">
        <f t="shared" si="29"/>
        <v>4.5999999999999996</v>
      </c>
      <c r="O29" s="14">
        <f t="shared" si="30"/>
        <v>1.1599999999999999</v>
      </c>
      <c r="P29" s="26">
        <f t="shared" si="31"/>
        <v>8.0000000000000002E-3</v>
      </c>
      <c r="Q29" s="10">
        <f t="shared" si="17"/>
        <v>2.9294262402544513E-2</v>
      </c>
      <c r="R29" s="12">
        <f t="shared" si="18"/>
        <v>0.80089664073753053</v>
      </c>
      <c r="S29" s="10">
        <f t="shared" si="19"/>
        <v>2.9294262402530587E-2</v>
      </c>
      <c r="V29" s="30">
        <f t="shared" si="20"/>
        <v>63.137499999999989</v>
      </c>
      <c r="W29" s="10">
        <f t="shared" si="21"/>
        <v>0.53506355932203375</v>
      </c>
      <c r="X29" s="12">
        <f t="shared" si="22"/>
        <v>4.2976333002638869</v>
      </c>
      <c r="Y29" s="12">
        <f t="shared" si="23"/>
        <v>8.7325694739854818</v>
      </c>
      <c r="Z29" s="12">
        <f t="shared" si="9"/>
        <v>4.1325694739854821</v>
      </c>
      <c r="AA29" s="10">
        <f t="shared" si="10"/>
        <v>5.2858638327482845</v>
      </c>
      <c r="AB29" s="10">
        <f t="shared" si="32"/>
        <v>4.853513341198969</v>
      </c>
    </row>
    <row r="30" spans="1:28">
      <c r="A30" s="7">
        <f t="shared" si="24"/>
        <v>68.912499999999994</v>
      </c>
      <c r="B30" s="7">
        <f t="shared" si="11"/>
        <v>0.58400423728813555</v>
      </c>
      <c r="C30" s="10">
        <f t="shared" si="12"/>
        <v>4.6907250810443104</v>
      </c>
      <c r="D30" s="12">
        <f t="shared" si="33"/>
        <v>8.0230245355632839</v>
      </c>
      <c r="E30" s="14">
        <v>4.5999999999999996</v>
      </c>
      <c r="F30" s="15">
        <v>1.1599999999999999</v>
      </c>
      <c r="G30" s="15">
        <v>8.0000000000000002E-3</v>
      </c>
      <c r="H30" s="10">
        <f t="shared" si="13"/>
        <v>4.8713558088315674</v>
      </c>
      <c r="I30" s="12">
        <f t="shared" si="34"/>
        <v>3.4230245355632842</v>
      </c>
      <c r="J30" s="10">
        <f t="shared" si="27"/>
        <v>0.33223864142917509</v>
      </c>
      <c r="K30" s="10">
        <f t="shared" si="35"/>
        <v>9.9833717319585246E-3</v>
      </c>
      <c r="L30" s="12">
        <f t="shared" si="14"/>
        <v>47.843835853973857</v>
      </c>
      <c r="M30" s="13">
        <f t="shared" si="15"/>
        <v>15475720.299073011</v>
      </c>
      <c r="N30" s="14">
        <f t="shared" si="29"/>
        <v>4.5999999999999996</v>
      </c>
      <c r="O30" s="14">
        <f t="shared" si="30"/>
        <v>1.1599999999999999</v>
      </c>
      <c r="P30" s="26">
        <f t="shared" si="31"/>
        <v>8.0000000000000002E-3</v>
      </c>
      <c r="Q30" s="10">
        <f t="shared" si="17"/>
        <v>3.1898294673670155E-2</v>
      </c>
      <c r="R30" s="12">
        <f t="shared" si="18"/>
        <v>0.87209012803746999</v>
      </c>
      <c r="S30" s="10">
        <f t="shared" si="19"/>
        <v>3.189829467363204E-2</v>
      </c>
      <c r="T30" s="5"/>
      <c r="V30" s="30">
        <f t="shared" si="20"/>
        <v>68.912499999999994</v>
      </c>
      <c r="W30" s="10">
        <f t="shared" si="21"/>
        <v>0.58400423728813555</v>
      </c>
      <c r="X30" s="12">
        <f t="shared" si="22"/>
        <v>4.6907250810443104</v>
      </c>
      <c r="Y30" s="12">
        <f t="shared" si="23"/>
        <v>8.0230245355632839</v>
      </c>
      <c r="Z30" s="12">
        <f t="shared" si="9"/>
        <v>3.4230245355632842</v>
      </c>
      <c r="AA30" s="10">
        <f t="shared" si="10"/>
        <v>4.8713558088315674</v>
      </c>
      <c r="AB30" s="10">
        <f t="shared" si="32"/>
        <v>4.6378732651602519</v>
      </c>
    </row>
    <row r="31" spans="1:28">
      <c r="A31" s="7">
        <f t="shared" si="24"/>
        <v>74.6875</v>
      </c>
      <c r="B31" s="7">
        <f t="shared" si="11"/>
        <v>0.63294491525423724</v>
      </c>
      <c r="C31" s="10">
        <f t="shared" si="12"/>
        <v>5.083816861824733</v>
      </c>
      <c r="D31" s="12">
        <f t="shared" si="33"/>
        <v>7.4187714658430535</v>
      </c>
      <c r="E31" s="14">
        <v>4.5999999999999996</v>
      </c>
      <c r="F31" s="15">
        <v>1.1599999999999999</v>
      </c>
      <c r="G31" s="15">
        <v>8.0000000000000002E-3</v>
      </c>
      <c r="H31" s="10">
        <f t="shared" si="13"/>
        <v>4.5153395256639683</v>
      </c>
      <c r="I31" s="12">
        <f t="shared" si="34"/>
        <v>2.8187714658430538</v>
      </c>
      <c r="J31" s="10">
        <f t="shared" si="27"/>
        <v>0.33239799263738801</v>
      </c>
      <c r="K31" s="10">
        <f t="shared" si="35"/>
        <v>8.5136239306961899E-3</v>
      </c>
      <c r="L31" s="12">
        <f t="shared" si="14"/>
        <v>51.703802716130532</v>
      </c>
      <c r="M31" s="13">
        <f t="shared" si="15"/>
        <v>15502006.907787265</v>
      </c>
      <c r="N31" s="14">
        <f t="shared" si="29"/>
        <v>4.5999999999999996</v>
      </c>
      <c r="O31" s="14">
        <f t="shared" si="30"/>
        <v>1.1599999999999999</v>
      </c>
      <c r="P31" s="26">
        <f t="shared" si="31"/>
        <v>8.0000000000000002E-3</v>
      </c>
      <c r="Q31" s="10">
        <f t="shared" si="17"/>
        <v>3.4474975699722882E-2</v>
      </c>
      <c r="R31" s="12">
        <f t="shared" si="18"/>
        <v>0.94253584022712089</v>
      </c>
      <c r="S31" s="10">
        <f t="shared" si="19"/>
        <v>3.4474975699677404E-2</v>
      </c>
      <c r="V31" s="30">
        <f t="shared" si="20"/>
        <v>74.6875</v>
      </c>
      <c r="W31" s="10">
        <f t="shared" si="21"/>
        <v>0.63294491525423724</v>
      </c>
      <c r="X31" s="12">
        <f t="shared" si="22"/>
        <v>5.083816861824733</v>
      </c>
      <c r="Y31" s="12">
        <f t="shared" si="23"/>
        <v>7.4187714658430535</v>
      </c>
      <c r="Z31" s="12">
        <f t="shared" si="9"/>
        <v>2.8187714658430538</v>
      </c>
      <c r="AA31" s="10">
        <f t="shared" si="10"/>
        <v>4.5153395256639683</v>
      </c>
      <c r="AB31" s="10">
        <f t="shared" si="32"/>
        <v>4.4222331891215347</v>
      </c>
    </row>
    <row r="32" spans="1:28">
      <c r="A32" s="7">
        <f t="shared" si="24"/>
        <v>80.462500000000006</v>
      </c>
      <c r="B32" s="7">
        <f t="shared" si="11"/>
        <v>0.68188559322033904</v>
      </c>
      <c r="C32" s="10">
        <f t="shared" si="12"/>
        <v>5.4769086426051574</v>
      </c>
      <c r="D32" s="12">
        <f t="shared" si="33"/>
        <v>6.898237612728165</v>
      </c>
      <c r="E32" s="14">
        <v>4.5999999999999996</v>
      </c>
      <c r="F32" s="15">
        <v>1.1599999999999999</v>
      </c>
      <c r="G32" s="15">
        <v>8.0000000000000002E-3</v>
      </c>
      <c r="H32" s="10">
        <f t="shared" si="13"/>
        <v>4.2065931130828167</v>
      </c>
      <c r="I32" s="12">
        <f t="shared" si="34"/>
        <v>2.2982376127281654</v>
      </c>
      <c r="J32" s="10">
        <f t="shared" si="27"/>
        <v>0.33252510359245346</v>
      </c>
      <c r="K32" s="10">
        <f t="shared" si="35"/>
        <v>7.3453080247370189E-3</v>
      </c>
      <c r="L32" s="12">
        <f t="shared" si="14"/>
        <v>55.573678046118289</v>
      </c>
      <c r="M32" s="13">
        <f t="shared" si="15"/>
        <v>15522964.896247204</v>
      </c>
      <c r="N32" s="14">
        <f t="shared" si="29"/>
        <v>4.5999999999999996</v>
      </c>
      <c r="O32" s="14">
        <f t="shared" si="30"/>
        <v>1.1599999999999999</v>
      </c>
      <c r="P32" s="26">
        <f t="shared" si="31"/>
        <v>8.0000000000000002E-3</v>
      </c>
      <c r="Q32" s="10">
        <f t="shared" si="17"/>
        <v>3.7025159507763375E-2</v>
      </c>
      <c r="R32" s="12">
        <f t="shared" si="18"/>
        <v>1.0122571261587123</v>
      </c>
      <c r="S32" s="10">
        <f t="shared" si="19"/>
        <v>3.7025159507707343E-2</v>
      </c>
      <c r="V32" s="30">
        <f t="shared" si="20"/>
        <v>80.462500000000006</v>
      </c>
      <c r="W32" s="10">
        <f t="shared" si="21"/>
        <v>0.68188559322033904</v>
      </c>
      <c r="X32" s="12">
        <f t="shared" si="22"/>
        <v>5.4769086426051574</v>
      </c>
      <c r="Y32" s="12">
        <f t="shared" si="23"/>
        <v>6.898237612728165</v>
      </c>
      <c r="Z32" s="12">
        <f t="shared" si="9"/>
        <v>2.2982376127281654</v>
      </c>
      <c r="AA32" s="10">
        <f t="shared" si="10"/>
        <v>4.2065931130828167</v>
      </c>
      <c r="AB32" s="10">
        <f t="shared" si="32"/>
        <v>4.2065931130828167</v>
      </c>
    </row>
    <row r="33" spans="1:28">
      <c r="A33" s="7">
        <f t="shared" si="24"/>
        <v>86.237500000000011</v>
      </c>
      <c r="B33" s="7">
        <f t="shared" si="11"/>
        <v>0.73082627118644072</v>
      </c>
      <c r="C33" s="10">
        <f t="shared" si="12"/>
        <v>5.87000042338558</v>
      </c>
      <c r="D33" s="12">
        <f t="shared" si="33"/>
        <v>6.445310232785161</v>
      </c>
      <c r="E33" s="14">
        <v>4.5999999999999996</v>
      </c>
      <c r="F33" s="15">
        <v>1.1599999999999999</v>
      </c>
      <c r="G33" s="15">
        <v>8.0000000000000002E-3</v>
      </c>
      <c r="H33" s="10">
        <f t="shared" si="13"/>
        <v>3.9365079992272141</v>
      </c>
      <c r="I33" s="12">
        <f t="shared" si="34"/>
        <v>1.8453102327851614</v>
      </c>
      <c r="J33" s="10">
        <f t="shared" si="27"/>
        <v>0.33262807909296704</v>
      </c>
      <c r="K33" s="10">
        <f t="shared" si="35"/>
        <v>6.4014640795361831E-3</v>
      </c>
      <c r="L33" s="12">
        <f t="shared" si="14"/>
        <v>59.451536170997812</v>
      </c>
      <c r="M33" s="13">
        <f t="shared" si="15"/>
        <v>15539936.766499264</v>
      </c>
      <c r="N33" s="14">
        <f t="shared" si="29"/>
        <v>4.5999999999999996</v>
      </c>
      <c r="O33" s="14">
        <f t="shared" si="30"/>
        <v>1.1599999999999999</v>
      </c>
      <c r="P33" s="26">
        <f t="shared" si="31"/>
        <v>8.0000000000000002E-3</v>
      </c>
      <c r="Q33" s="10">
        <f t="shared" si="17"/>
        <v>3.954948995994343E-2</v>
      </c>
      <c r="R33" s="12">
        <f t="shared" si="18"/>
        <v>1.0812715888367981</v>
      </c>
      <c r="S33" s="10">
        <f t="shared" si="19"/>
        <v>3.9549489960018523E-2</v>
      </c>
      <c r="V33" s="30">
        <f t="shared" si="20"/>
        <v>86.237500000000011</v>
      </c>
      <c r="W33" s="10">
        <f t="shared" si="21"/>
        <v>0.73082627118644072</v>
      </c>
      <c r="X33" s="12">
        <f t="shared" si="22"/>
        <v>5.87000042338558</v>
      </c>
      <c r="Y33" s="12">
        <f t="shared" si="23"/>
        <v>6.445310232785161</v>
      </c>
      <c r="Z33" s="12">
        <f t="shared" si="9"/>
        <v>1.8453102327851614</v>
      </c>
      <c r="AA33" s="10">
        <f t="shared" si="10"/>
        <v>3.9365079992272141</v>
      </c>
      <c r="AB33" s="10">
        <f t="shared" si="32"/>
        <v>3.9909530370440995</v>
      </c>
    </row>
    <row r="34" spans="1:28">
      <c r="A34" s="7">
        <f t="shared" si="24"/>
        <v>92.012500000000017</v>
      </c>
      <c r="B34" s="7">
        <f t="shared" si="11"/>
        <v>0.77976694915254252</v>
      </c>
      <c r="C34" s="10">
        <f t="shared" si="12"/>
        <v>6.2630922041660035</v>
      </c>
      <c r="D34" s="12">
        <f t="shared" si="33"/>
        <v>6.0477274277529594</v>
      </c>
      <c r="E34" s="14">
        <v>4.5999999999999996</v>
      </c>
      <c r="F34" s="15">
        <v>1.1599999999999999</v>
      </c>
      <c r="G34" s="15">
        <v>8.0000000000000002E-3</v>
      </c>
      <c r="H34" s="10">
        <f t="shared" si="13"/>
        <v>3.6983954557270096</v>
      </c>
      <c r="I34" s="12">
        <f t="shared" si="34"/>
        <v>1.4477274277529597</v>
      </c>
      <c r="J34" s="10">
        <f t="shared" si="27"/>
        <v>0.33271263901305581</v>
      </c>
      <c r="K34" s="10">
        <f t="shared" si="35"/>
        <v>5.6281693555281379E-3</v>
      </c>
      <c r="L34" s="12">
        <f t="shared" si="14"/>
        <v>63.335916913944871</v>
      </c>
      <c r="M34" s="13">
        <f t="shared" si="15"/>
        <v>15553869.010546954</v>
      </c>
      <c r="N34" s="14">
        <f t="shared" si="29"/>
        <v>4.5999999999999996</v>
      </c>
      <c r="O34" s="14">
        <f t="shared" si="30"/>
        <v>1.1599999999999999</v>
      </c>
      <c r="P34" s="26">
        <f t="shared" si="31"/>
        <v>8.0000000000000002E-3</v>
      </c>
      <c r="Q34" s="10">
        <f t="shared" si="17"/>
        <v>4.2048460612796899E-2</v>
      </c>
      <c r="R34" s="12">
        <f t="shared" si="18"/>
        <v>1.1495927219539157</v>
      </c>
      <c r="S34" s="10">
        <f t="shared" si="19"/>
        <v>4.204846061291756E-2</v>
      </c>
      <c r="V34" s="30">
        <f t="shared" si="20"/>
        <v>92.012500000000017</v>
      </c>
      <c r="W34" s="10">
        <f t="shared" si="21"/>
        <v>0.77976694915254252</v>
      </c>
      <c r="X34" s="12">
        <f t="shared" si="22"/>
        <v>6.2630922041660035</v>
      </c>
      <c r="Y34" s="12">
        <f t="shared" si="23"/>
        <v>6.0477274277529594</v>
      </c>
      <c r="Z34" s="12">
        <f t="shared" si="9"/>
        <v>1.4477274277529597</v>
      </c>
      <c r="AA34" s="10">
        <f t="shared" si="10"/>
        <v>3.6983954557270096</v>
      </c>
      <c r="AB34" s="10">
        <f t="shared" si="32"/>
        <v>3.7753129610053815</v>
      </c>
    </row>
    <row r="35" spans="1:28">
      <c r="A35" s="7">
        <f t="shared" si="24"/>
        <v>97.787500000000023</v>
      </c>
      <c r="B35" s="7">
        <f t="shared" si="11"/>
        <v>0.82870762711864421</v>
      </c>
      <c r="C35" s="10">
        <f t="shared" si="12"/>
        <v>6.656183984946427</v>
      </c>
      <c r="D35" s="12">
        <f t="shared" si="33"/>
        <v>5.6960015983364496</v>
      </c>
      <c r="E35" s="14">
        <v>4.5999999999999996</v>
      </c>
      <c r="F35" s="15">
        <v>1.1599999999999999</v>
      </c>
      <c r="G35" s="15">
        <v>8.0000000000000002E-3</v>
      </c>
      <c r="H35" s="10">
        <f t="shared" si="13"/>
        <v>3.4869939292224279</v>
      </c>
      <c r="I35" s="12">
        <f t="shared" si="34"/>
        <v>1.0960015983364499</v>
      </c>
      <c r="J35" s="10">
        <f t="shared" si="27"/>
        <v>0.33278291025621243</v>
      </c>
      <c r="K35" s="10">
        <f t="shared" si="35"/>
        <v>4.9867455319342266E-3</v>
      </c>
      <c r="L35" s="12">
        <f t="shared" si="14"/>
        <v>67.22569376439904</v>
      </c>
      <c r="M35" s="13">
        <f t="shared" si="15"/>
        <v>15565443.960439937</v>
      </c>
      <c r="N35" s="14">
        <f t="shared" si="29"/>
        <v>4.5999999999999996</v>
      </c>
      <c r="O35" s="14">
        <f t="shared" si="30"/>
        <v>1.1599999999999999</v>
      </c>
      <c r="P35" s="26">
        <f t="shared" si="31"/>
        <v>8.0000000000000002E-3</v>
      </c>
      <c r="Q35" s="10">
        <f t="shared" si="17"/>
        <v>4.4522455565065379E-2</v>
      </c>
      <c r="R35" s="12">
        <f t="shared" si="18"/>
        <v>1.2172310266582977</v>
      </c>
      <c r="S35" s="10">
        <f t="shared" si="19"/>
        <v>4.4522455564956598E-2</v>
      </c>
      <c r="V35" s="30">
        <f t="shared" si="20"/>
        <v>97.787500000000023</v>
      </c>
      <c r="W35" s="10">
        <f t="shared" si="21"/>
        <v>0.82870762711864421</v>
      </c>
      <c r="X35" s="12">
        <f t="shared" si="22"/>
        <v>6.656183984946427</v>
      </c>
      <c r="Y35" s="12">
        <f t="shared" si="23"/>
        <v>5.6960015983364496</v>
      </c>
      <c r="Z35" s="12">
        <f t="shared" si="9"/>
        <v>1.0960015983364499</v>
      </c>
      <c r="AA35" s="10">
        <f t="shared" si="10"/>
        <v>3.4869939292224279</v>
      </c>
      <c r="AB35" s="10">
        <f t="shared" si="32"/>
        <v>3.5596728849666643</v>
      </c>
    </row>
    <row r="36" spans="1:28">
      <c r="A36" s="7">
        <f t="shared" si="24"/>
        <v>103.56250000000003</v>
      </c>
      <c r="B36" s="7">
        <f t="shared" si="11"/>
        <v>0.87764830508474601</v>
      </c>
      <c r="C36" s="10">
        <f t="shared" si="12"/>
        <v>7.0492757657268506</v>
      </c>
      <c r="D36" s="12">
        <f t="shared" si="33"/>
        <v>5.3826822472641869</v>
      </c>
      <c r="E36" s="14">
        <v>4.5999999999999996</v>
      </c>
      <c r="F36" s="15">
        <v>1.1599999999999999</v>
      </c>
      <c r="G36" s="15">
        <v>8.0000000000000002E-3</v>
      </c>
      <c r="H36" s="10">
        <f t="shared" si="13"/>
        <v>3.2981160180230207</v>
      </c>
      <c r="I36" s="12">
        <f t="shared" si="34"/>
        <v>0.78268224726418723</v>
      </c>
      <c r="J36" s="10">
        <f t="shared" si="27"/>
        <v>0.33284192911678478</v>
      </c>
      <c r="K36" s="10">
        <f t="shared" si="35"/>
        <v>4.4488722841286178E-3</v>
      </c>
      <c r="L36" s="12">
        <f t="shared" si="14"/>
        <v>71.119984208813293</v>
      </c>
      <c r="M36" s="13">
        <f t="shared" si="15"/>
        <v>15575163.288222535</v>
      </c>
      <c r="N36" s="14">
        <f t="shared" si="29"/>
        <v>4.5999999999999996</v>
      </c>
      <c r="O36" s="14">
        <f t="shared" si="30"/>
        <v>1.1599999999999999</v>
      </c>
      <c r="P36" s="26">
        <f t="shared" si="31"/>
        <v>8.0000000000000002E-3</v>
      </c>
      <c r="Q36" s="10">
        <f t="shared" si="17"/>
        <v>4.6971777856114179E-2</v>
      </c>
      <c r="R36" s="12">
        <f t="shared" si="18"/>
        <v>1.2841947879583313</v>
      </c>
      <c r="S36" s="10">
        <f t="shared" si="19"/>
        <v>4.6971777856250202E-2</v>
      </c>
      <c r="V36" s="30">
        <f t="shared" si="20"/>
        <v>103.56250000000003</v>
      </c>
      <c r="W36" s="10">
        <f t="shared" si="21"/>
        <v>0.87764830508474601</v>
      </c>
      <c r="X36" s="12">
        <f t="shared" si="22"/>
        <v>7.0492757657268506</v>
      </c>
      <c r="Y36" s="12">
        <f t="shared" si="23"/>
        <v>5.3826822472641869</v>
      </c>
      <c r="Z36" s="12">
        <f t="shared" si="9"/>
        <v>0.78268224726418723</v>
      </c>
      <c r="AA36" s="10">
        <f t="shared" si="10"/>
        <v>3.2981160180230207</v>
      </c>
      <c r="AB36" s="10">
        <f t="shared" si="32"/>
        <v>3.3440328089279467</v>
      </c>
    </row>
    <row r="37" spans="1:28">
      <c r="A37" s="7">
        <f t="shared" si="24"/>
        <v>109.33750000000003</v>
      </c>
      <c r="B37" s="7">
        <f t="shared" si="11"/>
        <v>0.92658898305084769</v>
      </c>
      <c r="C37" s="10">
        <f t="shared" si="12"/>
        <v>7.4423675465072732</v>
      </c>
      <c r="D37" s="12">
        <f t="shared" si="33"/>
        <v>5.1018404528855781</v>
      </c>
      <c r="E37" s="14">
        <v>4.5999999999999996</v>
      </c>
      <c r="F37" s="15">
        <v>1.1599999999999999</v>
      </c>
      <c r="G37" s="15">
        <v>8.0000000000000002E-3</v>
      </c>
      <c r="H37" s="10">
        <f t="shared" si="13"/>
        <v>3.1283927328892291</v>
      </c>
      <c r="I37" s="12">
        <f t="shared" si="34"/>
        <v>0.50184045288557844</v>
      </c>
      <c r="J37" s="10">
        <f t="shared" si="27"/>
        <v>0.33289196865233966</v>
      </c>
      <c r="K37" s="10">
        <f t="shared" si="35"/>
        <v>3.9934328515422706E-3</v>
      </c>
      <c r="L37" s="12">
        <f t="shared" si="14"/>
        <v>75.018087366142012</v>
      </c>
      <c r="M37" s="13">
        <f t="shared" si="15"/>
        <v>15583402.347376358</v>
      </c>
      <c r="N37" s="14">
        <f t="shared" si="29"/>
        <v>4.5999999999999996</v>
      </c>
      <c r="O37" s="14">
        <f t="shared" si="30"/>
        <v>1.1599999999999999</v>
      </c>
      <c r="P37" s="26">
        <f t="shared" si="31"/>
        <v>8.0000000000000002E-3</v>
      </c>
      <c r="Q37" s="10">
        <f t="shared" si="17"/>
        <v>4.9396669562732518E-2</v>
      </c>
      <c r="R37" s="12">
        <f t="shared" si="18"/>
        <v>1.3504906241632475</v>
      </c>
      <c r="S37" s="10">
        <f t="shared" si="19"/>
        <v>4.9396669562751197E-2</v>
      </c>
      <c r="V37" s="30">
        <f t="shared" si="20"/>
        <v>109.33750000000003</v>
      </c>
      <c r="W37" s="10">
        <f t="shared" si="21"/>
        <v>0.92658898305084769</v>
      </c>
      <c r="X37" s="12">
        <f t="shared" si="22"/>
        <v>7.4423675465072732</v>
      </c>
      <c r="Y37" s="12">
        <f t="shared" si="23"/>
        <v>5.1018404528855781</v>
      </c>
      <c r="Z37" s="12">
        <f t="shared" si="9"/>
        <v>0.50184045288557844</v>
      </c>
      <c r="AA37" s="10">
        <f t="shared" si="10"/>
        <v>3.1283927328892291</v>
      </c>
      <c r="AB37" s="10">
        <f t="shared" si="32"/>
        <v>3.1283927328892291</v>
      </c>
    </row>
    <row r="38" spans="1:28">
      <c r="A38" s="7">
        <f t="shared" si="24"/>
        <v>115.11250000000004</v>
      </c>
      <c r="B38" s="7">
        <f t="shared" si="11"/>
        <v>0.97552966101694949</v>
      </c>
      <c r="C38" s="10">
        <f t="shared" si="12"/>
        <v>7.8354593272876967</v>
      </c>
      <c r="D38" s="12">
        <f t="shared" si="33"/>
        <v>4.8487014473369507</v>
      </c>
      <c r="E38" s="14">
        <v>4.5999999999999996</v>
      </c>
      <c r="F38" s="15">
        <v>1.1599999999999999</v>
      </c>
      <c r="G38" s="15">
        <v>8.0000000000000002E-3</v>
      </c>
      <c r="H38" s="10">
        <f t="shared" si="13"/>
        <v>2.9750860328727784</v>
      </c>
      <c r="I38" s="12">
        <f t="shared" si="34"/>
        <v>0.2487014473369511</v>
      </c>
      <c r="J38" s="10">
        <f t="shared" si="27"/>
        <v>0.33293475721394505</v>
      </c>
      <c r="K38" s="10">
        <f t="shared" si="35"/>
        <v>3.6044247259331896E-3</v>
      </c>
      <c r="L38" s="12">
        <f t="shared" si="14"/>
        <v>78.91943973964284</v>
      </c>
      <c r="M38" s="13">
        <f t="shared" si="15"/>
        <v>15590446.407141853</v>
      </c>
      <c r="N38" s="14">
        <f t="shared" si="29"/>
        <v>4.5999999999999996</v>
      </c>
      <c r="O38" s="14">
        <f t="shared" si="30"/>
        <v>1.1599999999999999</v>
      </c>
      <c r="P38" s="26">
        <f t="shared" si="31"/>
        <v>8.0000000000000002E-3</v>
      </c>
      <c r="Q38" s="10">
        <f t="shared" si="17"/>
        <v>5.1797326259607777E-2</v>
      </c>
      <c r="R38" s="12">
        <f t="shared" si="18"/>
        <v>1.416123882228296</v>
      </c>
      <c r="S38" s="10">
        <f t="shared" si="19"/>
        <v>5.1797326259659174E-2</v>
      </c>
      <c r="V38" s="30">
        <f t="shared" si="20"/>
        <v>115.11250000000004</v>
      </c>
      <c r="W38" s="10">
        <f t="shared" si="21"/>
        <v>0.97552966101694949</v>
      </c>
      <c r="X38" s="12">
        <f t="shared" si="22"/>
        <v>7.8354593272876967</v>
      </c>
      <c r="Y38" s="12">
        <f t="shared" si="23"/>
        <v>4.8487014473369507</v>
      </c>
      <c r="Z38" s="12">
        <f t="shared" si="9"/>
        <v>0.2487014473369511</v>
      </c>
      <c r="AA38" s="10">
        <f t="shared" si="10"/>
        <v>2.9750860328727784</v>
      </c>
      <c r="AB38" s="10">
        <f t="shared" si="32"/>
        <v>2.9127526568505111</v>
      </c>
    </row>
    <row r="39" spans="1:28">
      <c r="A39" s="29"/>
      <c r="B39" s="29"/>
      <c r="C39" s="36"/>
      <c r="D39" s="37"/>
      <c r="E39" s="38"/>
      <c r="F39" s="39"/>
      <c r="G39" s="39"/>
      <c r="H39" s="36"/>
      <c r="I39" s="37"/>
      <c r="J39" s="36"/>
      <c r="K39" s="36"/>
      <c r="L39" s="37"/>
      <c r="M39" s="40"/>
      <c r="N39" s="38"/>
      <c r="O39" s="38"/>
      <c r="P39" s="41"/>
      <c r="Q39" s="36"/>
      <c r="R39" s="37"/>
      <c r="S39" s="36"/>
    </row>
    <row r="40" spans="1:28">
      <c r="A40" s="43" t="s">
        <v>60</v>
      </c>
      <c r="D40" s="37"/>
      <c r="E40" s="38"/>
      <c r="F40" s="39"/>
      <c r="G40" s="39"/>
      <c r="H40" s="36"/>
      <c r="I40" s="37"/>
      <c r="J40" s="36"/>
      <c r="K40" s="36"/>
      <c r="L40" s="37"/>
      <c r="M40" s="40"/>
      <c r="N40" s="38"/>
      <c r="O40" s="38"/>
      <c r="P40" s="41"/>
      <c r="Q40" s="7" t="s">
        <v>30</v>
      </c>
      <c r="R40" s="10">
        <f>SUM(Q19:Q38)</f>
        <v>0.54921362576728783</v>
      </c>
      <c r="S40" s="7" t="s">
        <v>31</v>
      </c>
    </row>
    <row r="41" spans="1:28">
      <c r="D41" s="37"/>
      <c r="E41" s="38"/>
      <c r="F41" s="39"/>
      <c r="G41" s="39"/>
      <c r="J41" s="36"/>
      <c r="K41" s="36"/>
      <c r="L41" s="37"/>
      <c r="M41" s="40"/>
      <c r="N41" s="38"/>
      <c r="O41" s="38"/>
      <c r="P41" s="41"/>
      <c r="Q41" s="7" t="s">
        <v>29</v>
      </c>
      <c r="R41" s="12">
        <f>SUM(R19:R38)</f>
        <v>15.015341293798656</v>
      </c>
      <c r="S41" s="7" t="s">
        <v>48</v>
      </c>
    </row>
    <row r="42" spans="1:28">
      <c r="A42" s="7" t="s">
        <v>35</v>
      </c>
      <c r="B42" s="7">
        <v>7.2833618025104645</v>
      </c>
      <c r="C42" s="7" t="s">
        <v>50</v>
      </c>
      <c r="D42" s="37"/>
      <c r="E42" s="38"/>
      <c r="F42" s="39"/>
      <c r="G42" s="39"/>
      <c r="J42" s="36"/>
      <c r="K42" s="36"/>
      <c r="L42" s="37"/>
      <c r="M42" s="40"/>
      <c r="N42" s="38"/>
      <c r="O42" s="38"/>
      <c r="P42" s="41"/>
      <c r="Q42" s="7" t="s">
        <v>28</v>
      </c>
      <c r="R42" s="12">
        <f>1/2*PI()*B6^2*1.25*B10^3 * 0.593/1000000</f>
        <v>16.212448070244051</v>
      </c>
      <c r="S42" s="7" t="s">
        <v>48</v>
      </c>
    </row>
    <row r="43" spans="1:28">
      <c r="A43" s="7" t="s">
        <v>18</v>
      </c>
      <c r="B43" s="12">
        <f>B42*2*PI()/60</f>
        <v>0.76271186440677963</v>
      </c>
      <c r="C43" s="42" t="s">
        <v>19</v>
      </c>
      <c r="D43" s="37"/>
      <c r="E43" s="38"/>
      <c r="F43" s="39"/>
      <c r="G43" s="39"/>
      <c r="J43" s="36"/>
      <c r="K43" s="36"/>
      <c r="L43" s="37"/>
      <c r="M43" s="40"/>
      <c r="N43" s="38"/>
      <c r="O43" s="38"/>
      <c r="P43" s="41"/>
      <c r="Q43" s="36"/>
      <c r="R43" s="37"/>
      <c r="S43" s="36"/>
    </row>
    <row r="44" spans="1:28">
      <c r="A44" s="7" t="s">
        <v>46</v>
      </c>
      <c r="B44" s="13">
        <f>B43*B6</f>
        <v>90</v>
      </c>
      <c r="C44" s="7" t="s">
        <v>17</v>
      </c>
      <c r="D44" s="37"/>
      <c r="E44" s="38"/>
      <c r="F44" s="39"/>
      <c r="G44" s="39"/>
      <c r="J44" s="36"/>
      <c r="K44" s="36"/>
      <c r="L44" s="37"/>
      <c r="M44" s="40"/>
      <c r="N44" s="38"/>
      <c r="O44" s="38"/>
      <c r="P44" s="41"/>
      <c r="Q44" s="36"/>
      <c r="R44" s="37"/>
      <c r="S44" s="36"/>
    </row>
    <row r="45" spans="1:28">
      <c r="A45" s="7" t="s">
        <v>11</v>
      </c>
      <c r="B45" s="7">
        <v>10</v>
      </c>
      <c r="C45" s="7" t="s">
        <v>17</v>
      </c>
      <c r="D45" s="37"/>
      <c r="E45" s="38"/>
      <c r="F45" s="39"/>
      <c r="G45" s="39"/>
      <c r="J45" s="36"/>
      <c r="K45" s="36"/>
      <c r="L45" s="37"/>
      <c r="M45" s="40"/>
      <c r="N45" s="38"/>
      <c r="O45" s="38"/>
      <c r="P45" s="41"/>
      <c r="Q45" s="36"/>
      <c r="R45" s="37"/>
      <c r="S45" s="36"/>
    </row>
    <row r="46" spans="1:28">
      <c r="A46" s="7" t="s">
        <v>22</v>
      </c>
      <c r="B46" s="12">
        <f>B44/B45</f>
        <v>9</v>
      </c>
      <c r="C46" s="7" t="s">
        <v>31</v>
      </c>
      <c r="D46" s="37"/>
      <c r="E46" s="38"/>
      <c r="F46" s="39"/>
      <c r="G46" s="39"/>
      <c r="H46" s="36"/>
      <c r="I46" s="37"/>
      <c r="J46" s="36"/>
      <c r="K46" s="36"/>
      <c r="L46" s="37"/>
      <c r="M46" s="40"/>
      <c r="N46" s="38"/>
      <c r="O46" s="38"/>
      <c r="P46" s="41"/>
      <c r="Q46" s="36"/>
      <c r="R46" s="37"/>
      <c r="S46" s="36"/>
    </row>
    <row r="48" spans="1:28">
      <c r="A48" s="2" t="s">
        <v>56</v>
      </c>
      <c r="H48" s="36" t="s">
        <v>66</v>
      </c>
      <c r="I48" s="37"/>
      <c r="K48" s="2" t="s">
        <v>72</v>
      </c>
    </row>
    <row r="49" spans="1:24" ht="15" thickBot="1">
      <c r="A49" s="7"/>
      <c r="B49" s="7" t="s">
        <v>0</v>
      </c>
      <c r="C49" s="7" t="s">
        <v>3</v>
      </c>
      <c r="E49" s="32" t="s">
        <v>55</v>
      </c>
      <c r="F49" s="32"/>
      <c r="H49" s="10" t="s">
        <v>24</v>
      </c>
      <c r="I49" s="12" t="s">
        <v>25</v>
      </c>
      <c r="K49" s="2" t="s">
        <v>73</v>
      </c>
    </row>
    <row r="50" spans="1:24" ht="15" thickBot="1">
      <c r="A50" s="7">
        <v>1</v>
      </c>
      <c r="B50" s="30">
        <f>B32</f>
        <v>0.68188559322033904</v>
      </c>
      <c r="C50" s="10">
        <f>H32</f>
        <v>4.2065931130828167</v>
      </c>
      <c r="E50" s="32" t="s">
        <v>24</v>
      </c>
      <c r="F50" s="32">
        <f>(C51-C50)/(B51-B50)</f>
        <v>-4.4061522030421898</v>
      </c>
      <c r="H50" s="12">
        <v>0.5</v>
      </c>
      <c r="I50" s="12">
        <v>0.5</v>
      </c>
      <c r="K50" s="46" t="s">
        <v>71</v>
      </c>
      <c r="L50" s="47">
        <v>0</v>
      </c>
    </row>
    <row r="51" spans="1:24">
      <c r="A51" s="7">
        <v>2</v>
      </c>
      <c r="B51" s="30">
        <f>B37</f>
        <v>0.92658898305084769</v>
      </c>
      <c r="C51" s="10">
        <f>H37</f>
        <v>3.1283927328892291</v>
      </c>
      <c r="E51" s="32" t="s">
        <v>54</v>
      </c>
      <c r="F51" s="32">
        <f>C50-F50*B50</f>
        <v>7.2110848218733441</v>
      </c>
      <c r="W51" s="2" t="s">
        <v>63</v>
      </c>
    </row>
    <row r="53" spans="1:24">
      <c r="A53" s="7" t="s">
        <v>4</v>
      </c>
      <c r="B53" s="7" t="s">
        <v>0</v>
      </c>
      <c r="C53" s="7" t="s">
        <v>1</v>
      </c>
      <c r="D53" s="7" t="s">
        <v>3</v>
      </c>
      <c r="E53" s="18" t="s">
        <v>65</v>
      </c>
      <c r="F53" s="7" t="s">
        <v>24</v>
      </c>
      <c r="G53" s="7" t="s">
        <v>25</v>
      </c>
      <c r="H53" s="18" t="s">
        <v>2</v>
      </c>
      <c r="I53" s="18" t="s">
        <v>64</v>
      </c>
      <c r="J53" s="7" t="s">
        <v>11</v>
      </c>
      <c r="K53" s="7" t="s">
        <v>57</v>
      </c>
      <c r="L53" s="7" t="s">
        <v>5</v>
      </c>
      <c r="M53" s="7" t="s">
        <v>16</v>
      </c>
      <c r="N53" s="7" t="s">
        <v>34</v>
      </c>
      <c r="O53" s="7" t="s">
        <v>33</v>
      </c>
      <c r="P53" s="18" t="s">
        <v>62</v>
      </c>
      <c r="Q53" s="7" t="s">
        <v>24</v>
      </c>
      <c r="R53" s="7" t="s">
        <v>25</v>
      </c>
      <c r="S53" s="7" t="s">
        <v>27</v>
      </c>
      <c r="T53" s="7" t="s">
        <v>47</v>
      </c>
      <c r="U53" s="18" t="s">
        <v>45</v>
      </c>
      <c r="W53" s="7" t="s">
        <v>61</v>
      </c>
      <c r="X53" s="7" t="s">
        <v>52</v>
      </c>
    </row>
    <row r="54" spans="1:24">
      <c r="A54" s="7">
        <f>$B$5+$B$14/2</f>
        <v>5.3875000000000002</v>
      </c>
      <c r="B54" s="7">
        <f>A54/$B$6</f>
        <v>4.5656779661016951E-2</v>
      </c>
      <c r="C54" s="10">
        <f>B54*$B$46</f>
        <v>0.41091101694915255</v>
      </c>
      <c r="D54" s="10">
        <f>$F$50*B54+$F$51</f>
        <v>7.0099141015861424</v>
      </c>
      <c r="E54" s="10">
        <f>$B$13*D54/(2*PI()*A54)</f>
        <v>0.62125056886330421</v>
      </c>
      <c r="F54" s="10">
        <v>0.18685637095331242</v>
      </c>
      <c r="G54" s="10">
        <v>0.57231976165638665</v>
      </c>
      <c r="H54" s="10">
        <f>ATAN((1-F54)/(C54*(1+G54)))*180/PI()</f>
        <v>51.531091798323267</v>
      </c>
      <c r="I54" s="30" cm="1">
        <f t="array" ref="I54">2/PI()*ACOS( EXP(-($B$13/2*(1-B54)/(B54*sin_deg(H54)) ) ) )</f>
        <v>1</v>
      </c>
      <c r="J54" s="12" cm="1">
        <f t="array" ref="J54">$B$45*(1-F54)/sin_deg(H54)</f>
        <v>10.385694215905442</v>
      </c>
      <c r="K54" s="13">
        <f>J54*D54/$B$12*0.000001</f>
        <v>4.8341848830569178</v>
      </c>
      <c r="L54" s="27">
        <f t="shared" ref="L54:L73" si="36">I19</f>
        <v>41.97415375697669</v>
      </c>
      <c r="M54" s="27">
        <f>H54-L54</f>
        <v>9.5569380413465765</v>
      </c>
      <c r="N54" s="34">
        <f xml:space="preserve"> 0.00007175*M54^3 - 0.006199*M54^2 + 0.1372*M54 + 0.6503</f>
        <v>1.4579552280772625</v>
      </c>
      <c r="O54" s="34">
        <f>0.00002264*M54^3 - 0.0001299*M54^2 + 0.0003314*M54 + 0.007</f>
        <v>1.8064828034896282E-2</v>
      </c>
      <c r="P54" s="10" cm="1">
        <f t="array" ref="P54">E54*(1-F54)^2*( N54*cos_deg(H54)+O54*sin_deg(H54) ) / sin_deg(H54)^2</f>
        <v>0.61724198057746005</v>
      </c>
      <c r="Q54" s="28" cm="1">
        <f t="array" ref="Q54">IF(P54&lt;0.96,1/(1+4*IF($L$50,I54,1)*sin_deg(H54)^2/(E54*N54*cos_deg(H54))),1/I54*(0.143+SQRT(0.0203-0.6427*(0.889-P54))))</f>
        <v>0.18685637095331242</v>
      </c>
      <c r="R54" s="28" cm="1">
        <f t="array" ref="R54">Q54/C54*tan_deg(H54)</f>
        <v>0.57231976165638654</v>
      </c>
      <c r="S54" s="10" cm="1">
        <f t="array" ref="S54">I54*$B$13*$B$43/(PI()/4*$B$4^2*$B$45)*N54*D54/sin_deg(H54) *(1-O54/N54*1/tan_deg(H54) ) *  (1-Q54)^2 *A54*$B$14</f>
        <v>1.3908171967307937E-3</v>
      </c>
      <c r="T54" s="12">
        <f>S54*1/2*1.25*PI()/4*$B$4^2*$B$45^3 /1000000</f>
        <v>3.8024538916020902E-2</v>
      </c>
      <c r="U54" s="10" cm="1">
        <f t="array" ref="U54">8/$B$11^2*G54*(1-F54)*(1-O54/N54*1/tan_deg(H54))*C54^3*($C$20-$C$19)</f>
        <v>1.558434591529808E-3</v>
      </c>
      <c r="W54" s="7">
        <v>2.1624629432209743</v>
      </c>
      <c r="X54" s="7">
        <v>4.5465035755018418E-3</v>
      </c>
    </row>
    <row r="55" spans="1:24">
      <c r="A55" s="7">
        <f>A54+$B$14</f>
        <v>11.162500000000001</v>
      </c>
      <c r="B55" s="7">
        <f>A55/$B$6</f>
        <v>9.4597457627118658E-2</v>
      </c>
      <c r="C55" s="10">
        <f t="shared" ref="C55:C72" si="37">B55*$B$46</f>
        <v>0.85137711864406795</v>
      </c>
      <c r="D55" s="10">
        <f>$F$50*B55+$F$51</f>
        <v>6.7942740255474252</v>
      </c>
      <c r="E55" s="10">
        <f t="shared" ref="E55" si="38">$B$13*D55/(2*PI()*A55)</f>
        <v>0.29061831020472378</v>
      </c>
      <c r="F55" s="10">
        <v>0.16262150678361756</v>
      </c>
      <c r="G55" s="10">
        <v>0.16171694230865885</v>
      </c>
      <c r="H55" s="10">
        <f t="shared" ref="H55:H72" si="39">ATAN((1-F55)/(C55*(1+G55)))*180/PI()</f>
        <v>40.252633896890387</v>
      </c>
      <c r="I55" s="30" cm="1">
        <f t="array" ref="I55">2/PI()*ACOS( EXP(-($B$13/2*(1-B55)/(B55*sin_deg(H55)) ) ) )</f>
        <v>0.99999999985726729</v>
      </c>
      <c r="J55" s="12" cm="1">
        <f t="array" ref="J55">$B$45*(1-F55)/sin_deg(H55)</f>
        <v>12.959324235364221</v>
      </c>
      <c r="K55" s="13">
        <f>J55*D55/$B$12*0.000001</f>
        <v>5.8465604276880709</v>
      </c>
      <c r="L55" s="27">
        <f t="shared" si="36"/>
        <v>30.581444120134158</v>
      </c>
      <c r="M55" s="27">
        <f t="shared" ref="M55" si="40">H55-L55</f>
        <v>9.6711897767562292</v>
      </c>
      <c r="N55" s="34">
        <f t="shared" ref="N55:N73" si="41" xml:space="preserve"> 0.00007175*M55^3 - 0.006199*M55^2 + 0.1372*M55 + 0.6503</f>
        <v>1.4622854460492305</v>
      </c>
      <c r="O55" s="34">
        <f t="shared" ref="O55" si="42">0.00002264*M55^3 - 0.0001299*M55^2 + 0.0003314*M55 + 0.007</f>
        <v>1.8534585578818534E-2</v>
      </c>
      <c r="P55" s="10" cm="1">
        <f t="array" ref="P55">E55*(1-F55)^2*( N55*cos_deg(H55)+O55*sin_deg(H55) ) / sin_deg(H55)^2</f>
        <v>0.55054835241108846</v>
      </c>
      <c r="Q55" s="28" cm="1">
        <f t="array" ref="Q55">IF(P55&lt;0.96,1/(1+4*IF($L$50,I55,1)*sin_deg(H55)^2/(E55*N55*cos_deg(H55))),1/I55*(0.143+SQRT(0.0203-0.6427*(0.889-P55))))</f>
        <v>0.16262150678361761</v>
      </c>
      <c r="R55" s="28" cm="1">
        <f t="array" ref="R55">Q55/C55*tan_deg(H55)</f>
        <v>0.16171694230865877</v>
      </c>
      <c r="S55" s="10" cm="1">
        <f t="array" ref="S55">I55*$B$13*$B$43/(PI()/4*$B$4^2*$B$45)*N55*D55/sin_deg(H55) *(1-O55/N55*1/tan_deg(H55) ) *  (1-Q55)^2 *A55*$B$14</f>
        <v>3.581044478292785E-3</v>
      </c>
      <c r="T55" s="12">
        <f>S55*1/2*1.25*PI()/4*$B$4^2*$B$10^3 /1000000</f>
        <v>9.7904717776654257E-2</v>
      </c>
      <c r="U55" s="10" cm="1">
        <f t="array" ref="U55">8/$B$11^2*G55*(1-F55)*(1-O55/N55*1/tan_deg(H55))*C55^3*($C$20-$C$19)</f>
        <v>4.0126219338479166E-3</v>
      </c>
      <c r="W55" s="7">
        <v>2.4713862208239705</v>
      </c>
      <c r="X55" s="7">
        <v>2.245066474939357E-2</v>
      </c>
    </row>
    <row r="56" spans="1:24">
      <c r="A56" s="7">
        <f t="shared" ref="A56:A73" si="43">A55+$B$14</f>
        <v>16.9375</v>
      </c>
      <c r="B56" s="7">
        <f t="shared" ref="B56:B73" si="44">A56/$B$6</f>
        <v>0.14353813559322035</v>
      </c>
      <c r="C56" s="10">
        <f t="shared" si="37"/>
        <v>1.2918432203389831</v>
      </c>
      <c r="D56" s="10">
        <f t="shared" ref="D56:D72" si="45">$F$50*B56+$F$51</f>
        <v>6.5786339495087081</v>
      </c>
      <c r="E56" s="10">
        <f t="shared" ref="E56:E72" si="46">$B$13*D56/(2*PI()*A56)</f>
        <v>0.18545041095612741</v>
      </c>
      <c r="F56" s="10">
        <v>0.17575802173052157</v>
      </c>
      <c r="G56" s="10">
        <v>8.0349985292744008E-2</v>
      </c>
      <c r="H56" s="10">
        <f t="shared" si="39"/>
        <v>30.565348202820552</v>
      </c>
      <c r="I56" s="30" cm="1">
        <f t="array" ref="I56">2/PI()*ACOS( EXP(-($B$13/2*(1-B56)/(B56*sin_deg(H56)) ) ) )</f>
        <v>0.99999998554193592</v>
      </c>
      <c r="J56" s="12" cm="1">
        <f t="array" ref="J56">$B$45*(1-F56)/sin_deg(H56)</f>
        <v>16.208619945094295</v>
      </c>
      <c r="K56" s="13">
        <f t="shared" ref="K56:K73" si="47">J56*D56/$B$12*0.000001</f>
        <v>7.0803836285180131</v>
      </c>
      <c r="L56" s="27">
        <f t="shared" si="36"/>
        <v>22.691780108244487</v>
      </c>
      <c r="M56" s="27">
        <f t="shared" ref="M56:M72" si="48">H56-L56</f>
        <v>7.8735680945760649</v>
      </c>
      <c r="N56" s="34">
        <f t="shared" si="41"/>
        <v>1.3812801287817091</v>
      </c>
      <c r="O56" s="34">
        <f t="shared" ref="O56:O73" si="49">0.00002264*M56^3 - 0.0001299*M56^2 + 0.0003314*M56 + 0.007</f>
        <v>1.2607135631035975E-2</v>
      </c>
      <c r="P56" s="10" cm="1">
        <f t="array" ref="P56">E56*(1-F56)^2*( N56*cos_deg(H56)+O56*sin_deg(H56) ) / sin_deg(H56)^2</f>
        <v>0.58259208316355449</v>
      </c>
      <c r="Q56" s="28" cm="1">
        <f t="array" ref="Q56">IF(P56&lt;0.96,1/(1+4*IF($L$50,I56,1)*sin_deg(H56)^2/(E56*N56*cos_deg(H56))),1/I56*(0.143+SQRT(0.0203-0.6427*(0.889-P56))))</f>
        <v>0.17575802173052171</v>
      </c>
      <c r="R56" s="28" cm="1">
        <f t="array" ref="R56">Q56/C56*tan_deg(H56)</f>
        <v>8.0349985292743967E-2</v>
      </c>
      <c r="S56" s="10" cm="1">
        <f t="array" ref="S56">I56*$B$13*$B$43/(PI()/4*$B$4^2*$B$45)*N56*D56/sin_deg(H56) *(1-O56/N56*1/tan_deg(H56) ) *  (1-Q56)^2 *A56*$B$14</f>
        <v>6.1153767492191733E-3</v>
      </c>
      <c r="T56" s="12">
        <f t="shared" ref="T56:T73" si="50">S56*1/2*1.25*PI()/4*$B$4^2*$B$10^3 /1000000</f>
        <v>0.16719262727941603</v>
      </c>
      <c r="U56" s="10" cm="1">
        <f t="array" ref="U56">8/$B$11^2*G56*(1-F56)*(1-O56/N56*1/tan_deg(H56))*C56^3*($C$20-$C$19)</f>
        <v>6.8523849334143107E-3</v>
      </c>
      <c r="W56" s="7">
        <v>3.0892327760299629</v>
      </c>
      <c r="X56" s="7">
        <v>7.3337237396465943E-2</v>
      </c>
    </row>
    <row r="57" spans="1:24">
      <c r="A57" s="7">
        <f t="shared" si="43"/>
        <v>22.712499999999999</v>
      </c>
      <c r="B57" s="7">
        <f t="shared" si="44"/>
        <v>0.19247881355932203</v>
      </c>
      <c r="C57" s="10">
        <f t="shared" si="37"/>
        <v>1.7323093220338983</v>
      </c>
      <c r="D57" s="10">
        <f t="shared" si="45"/>
        <v>6.3629938734699909</v>
      </c>
      <c r="E57" s="10">
        <f t="shared" si="46"/>
        <v>0.13376360081358663</v>
      </c>
      <c r="F57" s="10">
        <v>0.19573817214436945</v>
      </c>
      <c r="G57" s="10">
        <v>4.9962956598405078E-2</v>
      </c>
      <c r="H57" s="10">
        <f t="shared" si="39"/>
        <v>23.854004147017772</v>
      </c>
      <c r="I57" s="30" cm="1">
        <f t="array" ref="I57">2/PI()*ACOS( EXP(-($B$13/2*(1-B57)/(B57*sin_deg(H57)) ) ) )</f>
        <v>0.99999988889396108</v>
      </c>
      <c r="J57" s="12" cm="1">
        <f t="array" ref="J57">$B$45*(1-F57)/sin_deg(H57)</f>
        <v>19.887410398626631</v>
      </c>
      <c r="K57" s="13">
        <f t="shared" si="47"/>
        <v>8.4026208848369599</v>
      </c>
      <c r="L57" s="27">
        <f t="shared" si="36"/>
        <v>17.330784596096272</v>
      </c>
      <c r="M57" s="27">
        <f t="shared" si="48"/>
        <v>6.5232195509214996</v>
      </c>
      <c r="N57" s="34">
        <f t="shared" si="41"/>
        <v>1.3014197010959072</v>
      </c>
      <c r="O57" s="34">
        <f t="shared" si="49"/>
        <v>9.9186186622664853E-3</v>
      </c>
      <c r="P57" s="10" cm="1">
        <f t="array" ref="P57">E57*(1-F57)^2*( N57*cos_deg(H57)+O57*sin_deg(H57) ) / sin_deg(H57)^2</f>
        <v>0.63182105551298862</v>
      </c>
      <c r="Q57" s="28" cm="1">
        <f t="array" ref="Q57">IF(P57&lt;0.96,1/(1+4*IF($L$50,I57,1)*sin_deg(H57)^2/(E57*N57*cos_deg(H57))),1/I57*(0.143+SQRT(0.0203-0.6427*(0.889-P57))))</f>
        <v>0.19573817214436962</v>
      </c>
      <c r="R57" s="28" cm="1">
        <f t="array" ref="R57">Q57/C57*tan_deg(H57)</f>
        <v>4.9962956598405037E-2</v>
      </c>
      <c r="S57" s="10" cm="1">
        <f t="array" ref="S57">I57*$B$13*$B$43/(PI()/4*$B$4^2*$B$45)*N57*D57/sin_deg(H57) *(1-O57/N57*1/tan_deg(H57) ) *  (1-Q57)^2 *A57*$B$14</f>
        <v>8.9307632472128782E-3</v>
      </c>
      <c r="T57" s="12">
        <f t="shared" si="50"/>
        <v>0.24416447786354617</v>
      </c>
      <c r="U57" s="10" cm="1">
        <f t="array" ref="U57">8/$B$11^2*G57*(1-F57)*(1-O57/N57*1/tan_deg(H57))*C57^3*($C$20-$C$19)</f>
        <v>1.0007074942925645E-2</v>
      </c>
      <c r="W57" s="7">
        <v>3.7070793312359553</v>
      </c>
      <c r="X57" s="7">
        <v>0.13795245865327654</v>
      </c>
    </row>
    <row r="58" spans="1:24">
      <c r="A58" s="7">
        <f t="shared" si="43"/>
        <v>28.487499999999997</v>
      </c>
      <c r="B58" s="7">
        <f t="shared" si="44"/>
        <v>0.24141949152542372</v>
      </c>
      <c r="C58" s="10">
        <f t="shared" si="37"/>
        <v>2.1727754237288135</v>
      </c>
      <c r="D58" s="10">
        <f t="shared" si="45"/>
        <v>6.1473537974312729</v>
      </c>
      <c r="E58" s="10">
        <f t="shared" si="46"/>
        <v>0.10303274177754325</v>
      </c>
      <c r="F58" s="10">
        <v>0.21794718063897897</v>
      </c>
      <c r="G58" s="10">
        <v>3.4887086333032773E-2</v>
      </c>
      <c r="H58" s="10">
        <f t="shared" si="39"/>
        <v>19.177621456743616</v>
      </c>
      <c r="I58" s="30" cm="1">
        <f t="array" ref="I58">2/PI()*ACOS( EXP(-($B$13/2*(1-B58)/(B58*sin_deg(H58)) ) ) )</f>
        <v>0.99999962617472771</v>
      </c>
      <c r="J58" s="12" cm="1">
        <f t="array" ref="J58">$B$45*(1-F58)/sin_deg(H58)</f>
        <v>23.806944363422588</v>
      </c>
      <c r="K58" s="13">
        <f t="shared" si="47"/>
        <v>9.7177762176441487</v>
      </c>
      <c r="L58" s="27">
        <f t="shared" si="36"/>
        <v>13.587006838531183</v>
      </c>
      <c r="M58" s="27">
        <f t="shared" si="48"/>
        <v>5.5906146182124328</v>
      </c>
      <c r="N58" s="34">
        <f t="shared" si="41"/>
        <v>1.2361199559117138</v>
      </c>
      <c r="O58" s="34">
        <f t="shared" si="49"/>
        <v>8.7486979782677651E-3</v>
      </c>
      <c r="P58" s="10" cm="1">
        <f t="array" ref="P58">E58*(1-F58)^2*( N58*cos_deg(H58)+O58*sin_deg(H58) ) / sin_deg(H58)^2</f>
        <v>0.68346308519478682</v>
      </c>
      <c r="Q58" s="28" cm="1">
        <f t="array" ref="Q58">IF(P58&lt;0.96,1/(1+4*IF($L$50,I58,1)*sin_deg(H58)^2/(E58*N58*cos_deg(H58))),1/I58*(0.143+SQRT(0.0203-0.6427*(0.889-P58))))</f>
        <v>0.21794718063897958</v>
      </c>
      <c r="R58" s="28" cm="1">
        <f t="array" ref="R58">Q58/C58*tan_deg(H58)</f>
        <v>3.4887086333032703E-2</v>
      </c>
      <c r="S58" s="10" cm="1">
        <f t="array" ref="S58">I58*$B$13*$B$43/(PI()/4*$B$4^2*$B$45)*N58*D58/sin_deg(H58) *(1-O58/N58*1/tan_deg(H58) ) *  (1-Q58)^2 *A58*$B$14</f>
        <v>1.1927069549096111E-2</v>
      </c>
      <c r="T58" s="12">
        <f t="shared" si="50"/>
        <v>0.32608262343155109</v>
      </c>
      <c r="U58" s="10" cm="1">
        <f t="array" ref="U58">8/$B$11^2*G58*(1-F58)*(1-O58/N58*1/tan_deg(H58))*C58^3*($C$20-$C$19)</f>
        <v>1.3364491575949718E-2</v>
      </c>
      <c r="W58" s="7">
        <v>4.3249258864419486</v>
      </c>
      <c r="X58" s="7">
        <v>0.20896637047809033</v>
      </c>
    </row>
    <row r="59" spans="1:24">
      <c r="A59" s="7">
        <f t="shared" si="43"/>
        <v>34.262499999999996</v>
      </c>
      <c r="B59" s="7">
        <f t="shared" si="44"/>
        <v>0.29036016949152538</v>
      </c>
      <c r="C59" s="10">
        <f t="shared" si="37"/>
        <v>2.6132415254237285</v>
      </c>
      <c r="D59" s="10">
        <f t="shared" si="45"/>
        <v>5.9317137213925557</v>
      </c>
      <c r="E59" s="10">
        <f t="shared" si="46"/>
        <v>8.2661355105346696E-2</v>
      </c>
      <c r="F59" s="10">
        <v>0.24105339043504742</v>
      </c>
      <c r="G59" s="10">
        <v>2.6107923625903633E-2</v>
      </c>
      <c r="H59" s="10">
        <f t="shared" si="39"/>
        <v>15.803317492786865</v>
      </c>
      <c r="I59" s="30" cm="1">
        <f t="array" ref="I59">2/PI()*ACOS( EXP(-($B$13/2*(1-B59)/(B59*sin_deg(H59)) ) ) )</f>
        <v>0.99999909278733234</v>
      </c>
      <c r="J59" s="12" cm="1">
        <f t="array" ref="J59">$B$45*(1-F59)/sin_deg(H59)</f>
        <v>27.868027353651939</v>
      </c>
      <c r="K59" s="13">
        <f t="shared" si="47"/>
        <v>10.976438263067745</v>
      </c>
      <c r="L59" s="27">
        <f t="shared" si="36"/>
        <v>10.872599085464735</v>
      </c>
      <c r="M59" s="27">
        <f t="shared" si="48"/>
        <v>4.9307184073221304</v>
      </c>
      <c r="N59" s="34">
        <f t="shared" si="41"/>
        <v>1.1846856470958795</v>
      </c>
      <c r="O59" s="34">
        <f t="shared" si="49"/>
        <v>8.1898957430603051E-3</v>
      </c>
      <c r="P59" s="10" cm="1">
        <f t="array" ref="P59">E59*(1-F59)^2*( N59*cos_deg(H59)+O59*sin_deg(H59) ) / sin_deg(H59)^2</f>
        <v>0.73321846629372889</v>
      </c>
      <c r="Q59" s="28" cm="1">
        <f t="array" ref="Q59">IF(P59&lt;0.96,1/(1+4*IF($L$50,I59,1)*sin_deg(H59)^2/(E59*N59*cos_deg(H59))),1/I59*(0.143+SQRT(0.0203-0.6427*(0.889-P59))))</f>
        <v>0.2410533904350485</v>
      </c>
      <c r="R59" s="28" cm="1">
        <f t="array" ref="R59">Q59/C59*tan_deg(H59)</f>
        <v>2.6107923625903581E-2</v>
      </c>
      <c r="S59" s="10" cm="1">
        <f t="array" ref="S59">I59*$B$13*$B$43/(PI()/4*$B$4^2*$B$45)*N59*D59/sin_deg(H59) *(1-O59/N59*1/tan_deg(H59) ) *  (1-Q59)^2 *A59*$B$14</f>
        <v>1.5007207494808753E-2</v>
      </c>
      <c r="T59" s="12">
        <f t="shared" si="50"/>
        <v>0.41029270183636452</v>
      </c>
      <c r="U59" s="10" cm="1">
        <f t="array" ref="U59">8/$B$11^2*G59*(1-F59)*(1-O59/N59*1/tan_deg(H59))*C59^3*($C$20-$C$19)</f>
        <v>1.6815849383249919E-2</v>
      </c>
      <c r="W59" s="7">
        <v>4.9427724416479411</v>
      </c>
      <c r="X59" s="7">
        <v>0.2801298349505954</v>
      </c>
    </row>
    <row r="60" spans="1:24">
      <c r="A60" s="7">
        <f t="shared" si="43"/>
        <v>40.037499999999994</v>
      </c>
      <c r="B60" s="7">
        <f t="shared" si="44"/>
        <v>0.33930084745762706</v>
      </c>
      <c r="C60" s="10">
        <f t="shared" si="37"/>
        <v>3.0537076271186434</v>
      </c>
      <c r="D60" s="10">
        <f t="shared" si="45"/>
        <v>5.7160736453538386</v>
      </c>
      <c r="E60" s="10">
        <f t="shared" si="46"/>
        <v>6.8166696901807544E-2</v>
      </c>
      <c r="F60" s="10">
        <v>0.26449766974974975</v>
      </c>
      <c r="G60" s="10">
        <v>2.0443813258094704E-2</v>
      </c>
      <c r="H60" s="10">
        <f t="shared" si="39"/>
        <v>13.280473207187027</v>
      </c>
      <c r="I60" s="30" cm="1">
        <f t="array" ref="I60">2/PI()*ACOS( EXP(-($B$13/2*(1-B60)/(B60*sin_deg(H60)) ) ) )</f>
        <v>0.99999808643101518</v>
      </c>
      <c r="J60" s="12" cm="1">
        <f t="array" ref="J60">$B$45*(1-F60)/sin_deg(H60)</f>
        <v>32.017610044476989</v>
      </c>
      <c r="K60" s="13">
        <f t="shared" si="47"/>
        <v>12.152391564571795</v>
      </c>
      <c r="L60" s="27">
        <f t="shared" si="36"/>
        <v>8.833291424755906</v>
      </c>
      <c r="M60" s="27">
        <f t="shared" si="48"/>
        <v>4.4471817824311213</v>
      </c>
      <c r="N60" s="34">
        <f t="shared" si="41"/>
        <v>1.1441637636841373</v>
      </c>
      <c r="O60" s="34">
        <f t="shared" si="49"/>
        <v>7.8959826379094347E-3</v>
      </c>
      <c r="P60" s="10" cm="1">
        <f t="array" ref="P60">E60*(1-F60)^2*( N60*cos_deg(H60)+O60*sin_deg(H60) ) / sin_deg(H60)^2</f>
        <v>0.77942211979975595</v>
      </c>
      <c r="Q60" s="28" cm="1">
        <f t="array" ref="Q60">IF(P60&lt;0.96,1/(1+4*IF($L$50,I60,1)*sin_deg(H60)^2/(E60*N60*cos_deg(H60))),1/I60*(0.143+SQRT(0.0203-0.6427*(0.889-P60))))</f>
        <v>0.26449766974972289</v>
      </c>
      <c r="R60" s="28" cm="1">
        <f t="array" ref="R60">Q60/C60*tan_deg(H60)</f>
        <v>2.0443813258095508E-2</v>
      </c>
      <c r="S60" s="10" cm="1">
        <f t="array" ref="S60">I60*$B$13*$B$43/(PI()/4*$B$4^2*$B$45)*N60*D60/sin_deg(H60) *(1-O60/N60*1/tan_deg(H60) ) *  (1-Q60)^2 *A60*$B$14</f>
        <v>1.8082464874383062E-2</v>
      </c>
      <c r="T60" s="12">
        <f t="shared" si="50"/>
        <v>0.4943693469779889</v>
      </c>
      <c r="U60" s="10" cm="1">
        <f t="array" ref="U60">8/$B$11^2*G60*(1-F60)*(1-O60/N60*1/tan_deg(H60))*C60^3*($C$20-$C$19)</f>
        <v>2.0261751689384044E-2</v>
      </c>
      <c r="W60" s="7">
        <v>5.5606189968539343</v>
      </c>
      <c r="X60" s="7">
        <v>0.34649680368012231</v>
      </c>
    </row>
    <row r="61" spans="1:24">
      <c r="A61" s="7">
        <f t="shared" si="43"/>
        <v>45.812499999999993</v>
      </c>
      <c r="B61" s="7">
        <f t="shared" si="44"/>
        <v>0.38824152542372875</v>
      </c>
      <c r="C61" s="10">
        <f t="shared" si="37"/>
        <v>3.4941737288135588</v>
      </c>
      <c r="D61" s="10">
        <f t="shared" si="45"/>
        <v>5.5004335693151214</v>
      </c>
      <c r="E61" s="10">
        <f t="shared" si="46"/>
        <v>5.7326353617796387E-2</v>
      </c>
      <c r="F61" s="10">
        <v>0.28797773520622916</v>
      </c>
      <c r="G61" s="10">
        <v>1.6521404957156982E-2</v>
      </c>
      <c r="H61" s="10">
        <f t="shared" si="39"/>
        <v>11.335395294292546</v>
      </c>
      <c r="I61" s="30" cm="1">
        <f t="array" ref="I61">2/PI()*ACOS( EXP(-($B$13/2*(1-B61)/(B61*sin_deg(H61)) ) ) )</f>
        <v>0.99999618578194138</v>
      </c>
      <c r="J61" s="12" cm="1">
        <f t="array" ref="J61">$B$45*(1-F61)/sin_deg(H61)</f>
        <v>36.225662032087364</v>
      </c>
      <c r="K61" s="13">
        <f t="shared" si="47"/>
        <v>13.23086636865588</v>
      </c>
      <c r="L61" s="27">
        <f t="shared" si="36"/>
        <v>7.2533930320710489</v>
      </c>
      <c r="M61" s="27">
        <f t="shared" si="48"/>
        <v>4.0820022622214971</v>
      </c>
      <c r="N61" s="34">
        <f t="shared" si="41"/>
        <v>1.1119386148512715</v>
      </c>
      <c r="O61" s="34">
        <f t="shared" si="49"/>
        <v>7.7281981625273799E-3</v>
      </c>
      <c r="P61" s="10" cm="1">
        <f t="array" ref="P61">E61*(1-F61)^2*( N61*cos_deg(H61)+O61*sin_deg(H61) ) / sin_deg(H61)^2</f>
        <v>0.82132896388257959</v>
      </c>
      <c r="Q61" s="28" cm="1">
        <f t="array" ref="Q61">IF(P61&lt;0.96,1/(1+4*IF($L$50,I61,1)*sin_deg(H61)^2/(E61*N61*cos_deg(H61))),1/I61*(0.143+SQRT(0.0203-0.6427*(0.889-P61))))</f>
        <v>0.28797773520559833</v>
      </c>
      <c r="R61" s="28" cm="1">
        <f t="array" ref="R61">Q61/C61*tan_deg(H61)</f>
        <v>1.6521404957168476E-2</v>
      </c>
      <c r="S61" s="10" cm="1">
        <f t="array" ref="S61">I61*$B$13*$B$43/(PI()/4*$B$4^2*$B$45)*N61*D61/sin_deg(H61) *(1-O61/N61*1/tan_deg(H61) ) *  (1-Q61)^2 *A61*$B$14</f>
        <v>2.1074886381468448E-2</v>
      </c>
      <c r="T61" s="12">
        <f t="shared" si="50"/>
        <v>0.5761812833825477</v>
      </c>
      <c r="U61" s="10" cm="1">
        <f t="array" ref="U61">8/$B$11^2*G61*(1-F61)*(1-O61/N61*1/tan_deg(H61))*C61^3*($C$20-$C$19)</f>
        <v>2.3614862758819452E-2</v>
      </c>
      <c r="W61" s="7">
        <v>6.1784655520599259</v>
      </c>
      <c r="X61" s="7">
        <v>0.40434672530168903</v>
      </c>
    </row>
    <row r="62" spans="1:24">
      <c r="A62" s="7">
        <f t="shared" si="43"/>
        <v>51.587499999999991</v>
      </c>
      <c r="B62" s="7">
        <f t="shared" si="44"/>
        <v>0.43718220338983044</v>
      </c>
      <c r="C62" s="10">
        <f t="shared" si="37"/>
        <v>3.9346398305084738</v>
      </c>
      <c r="D62" s="10">
        <f t="shared" si="45"/>
        <v>5.2847934932764042</v>
      </c>
      <c r="E62" s="10">
        <f t="shared" si="46"/>
        <v>4.8913070472972622E-2</v>
      </c>
      <c r="F62" s="10">
        <v>0.31128581114183212</v>
      </c>
      <c r="G62" s="10">
        <v>1.3661408622182524E-2</v>
      </c>
      <c r="H62" s="10">
        <f t="shared" si="39"/>
        <v>9.797198538933424</v>
      </c>
      <c r="I62" s="30" cm="1">
        <f t="array" ref="I62">2/PI()*ACOS( EXP(-($B$13/2*(1-B62)/(B62*sin_deg(H62)) ) ) )</f>
        <v>0.99999249553282643</v>
      </c>
      <c r="J62" s="12" cm="1">
        <f t="array" ref="J62">$B$45*(1-F62)/sin_deg(H62)</f>
        <v>40.47419166777108</v>
      </c>
      <c r="K62" s="13">
        <f t="shared" si="47"/>
        <v>14.203037501424877</v>
      </c>
      <c r="L62" s="27">
        <f t="shared" si="36"/>
        <v>5.9973560892073028</v>
      </c>
      <c r="M62" s="27">
        <f t="shared" si="48"/>
        <v>3.7998424497261212</v>
      </c>
      <c r="N62" s="34">
        <f t="shared" si="41"/>
        <v>1.0860688228410409</v>
      </c>
      <c r="O62" s="34">
        <f t="shared" si="49"/>
        <v>7.6258148911907738E-3</v>
      </c>
      <c r="P62" s="10" cm="1">
        <f t="array" ref="P62">E62*(1-F62)^2*( N62*cos_deg(H62)+O62*sin_deg(H62) ) / sin_deg(H62)^2</f>
        <v>0.85858756839289918</v>
      </c>
      <c r="Q62" s="28" cm="1">
        <f t="array" ref="Q62">IF(P62&lt;0.96,1/(1+4*IF($L$50,I62,1)*sin_deg(H62)^2/(E62*N62*cos_deg(H62))),1/I62*(0.143+SQRT(0.0203-0.6427*(0.889-P62))))</f>
        <v>0.31128581113339643</v>
      </c>
      <c r="R62" s="28" cm="1">
        <f t="array" ref="R62">Q62/C62*tan_deg(H62)</f>
        <v>1.3661408622281117E-2</v>
      </c>
      <c r="S62" s="10" cm="1">
        <f t="array" ref="S62">I62*$B$13*$B$43/(PI()/4*$B$4^2*$B$45)*N62*D62/sin_deg(H62) *(1-O62/N62*1/tan_deg(H62) ) *  (1-Q62)^2 *A62*$B$14</f>
        <v>2.3918577752398085E-2</v>
      </c>
      <c r="T62" s="12">
        <f t="shared" si="50"/>
        <v>0.65392698098625379</v>
      </c>
      <c r="U62" s="10" cm="1">
        <f t="array" ref="U62">8/$B$11^2*G62*(1-F62)*(1-O62/N62*1/tan_deg(H62))*C62^3*($C$20-$C$19)</f>
        <v>2.6801378909883909E-2</v>
      </c>
      <c r="W62" s="7">
        <v>6.7963121072659174</v>
      </c>
      <c r="X62" s="7">
        <v>0.45092762144723153</v>
      </c>
    </row>
    <row r="63" spans="1:24">
      <c r="A63" s="7">
        <f t="shared" si="43"/>
        <v>57.36249999999999</v>
      </c>
      <c r="B63" s="7">
        <f t="shared" si="44"/>
        <v>0.48612288135593212</v>
      </c>
      <c r="C63" s="10">
        <f t="shared" si="37"/>
        <v>4.3751059322033887</v>
      </c>
      <c r="D63" s="10">
        <f t="shared" si="45"/>
        <v>5.0691534172376862</v>
      </c>
      <c r="E63" s="10">
        <f t="shared" si="46"/>
        <v>4.219381078114888E-2</v>
      </c>
      <c r="F63" s="10">
        <v>0.3342394681366111</v>
      </c>
      <c r="G63" s="10">
        <v>1.1493061472530326E-2</v>
      </c>
      <c r="H63" s="10">
        <f t="shared" si="39"/>
        <v>8.5554822925012743</v>
      </c>
      <c r="I63" s="30" cm="1">
        <f t="array" ref="I63">2/PI()*ACOS( EXP(-($B$13/2*(1-B63)/(B63*sin_deg(H63)) ) ) )</f>
        <v>0.99998503987759779</v>
      </c>
      <c r="J63" s="12" cm="1">
        <f t="array" ref="J63">$B$45*(1-F63)/sin_deg(H63)</f>
        <v>44.751879176919125</v>
      </c>
      <c r="K63" s="13">
        <f t="shared" si="47"/>
        <v>15.063355993193069</v>
      </c>
      <c r="L63" s="27">
        <f t="shared" si="36"/>
        <v>4.9769064543912638</v>
      </c>
      <c r="M63" s="27">
        <f t="shared" si="48"/>
        <v>3.5785758381100106</v>
      </c>
      <c r="N63" s="34">
        <f t="shared" si="41"/>
        <v>1.0651830972837419</v>
      </c>
      <c r="O63" s="34">
        <f t="shared" si="49"/>
        <v>7.5599593737325915E-3</v>
      </c>
      <c r="P63" s="10" cm="1">
        <f t="array" ref="P63">E63*(1-F63)^2*( N63*cos_deg(H63)+O63*sin_deg(H63) ) / sin_deg(H63)^2</f>
        <v>0.89104416433913769</v>
      </c>
      <c r="Q63" s="28" cm="1">
        <f t="array" ref="Q63">IF(P63&lt;0.96,1/(1+4*IF($L$50,I63,1)*sin_deg(H63)^2/(E63*N63*cos_deg(H63))),1/I63*(0.143+SQRT(0.0203-0.6427*(0.889-P63))))</f>
        <v>0.33423946801035842</v>
      </c>
      <c r="R63" s="28" cm="1">
        <f t="array" ref="R63">Q63/C63*tan_deg(H63)</f>
        <v>1.1493061473527551E-2</v>
      </c>
      <c r="S63" s="10" cm="1">
        <f t="array" ref="S63">I63*$B$13*$B$43/(PI()/4*$B$4^2*$B$45)*N63*D63/sin_deg(H63) *(1-O63/N63*1/tan_deg(H63) ) *  (1-Q63)^2 *A63*$B$14</f>
        <v>2.656089905048261E-2</v>
      </c>
      <c r="T63" s="12">
        <f t="shared" si="50"/>
        <v>0.72616727918202983</v>
      </c>
      <c r="U63" s="10" cm="1">
        <f t="array" ref="U63">8/$B$11^2*G63*(1-F63)*(1-O63/N63*1/tan_deg(H63))*C63^3*($C$20-$C$19)</f>
        <v>2.9762389484551281E-2</v>
      </c>
      <c r="W63" s="7">
        <v>7.4141586624719107</v>
      </c>
      <c r="X63" s="7">
        <v>0.48402700898702677</v>
      </c>
    </row>
    <row r="64" spans="1:24">
      <c r="A64" s="7">
        <f t="shared" si="43"/>
        <v>63.137499999999989</v>
      </c>
      <c r="B64" s="7">
        <f t="shared" si="44"/>
        <v>0.53506355932203375</v>
      </c>
      <c r="C64" s="10">
        <f t="shared" si="37"/>
        <v>4.8155720338983041</v>
      </c>
      <c r="D64" s="10">
        <f t="shared" si="45"/>
        <v>4.853513341198969</v>
      </c>
      <c r="E64" s="10">
        <f t="shared" si="46"/>
        <v>3.6703732628672825E-2</v>
      </c>
      <c r="F64" s="10">
        <v>0.35664091703782175</v>
      </c>
      <c r="G64" s="10">
        <v>9.798379408743875E-3</v>
      </c>
      <c r="H64" s="10">
        <f t="shared" si="39"/>
        <v>7.5366534062112223</v>
      </c>
      <c r="I64" s="30" cm="1">
        <f t="array" ref="I64">2/PI()*ACOS( EXP(-($B$13/2*(1-B64)/(B64*sin_deg(H64)) ) ) )</f>
        <v>0.99996923313300079</v>
      </c>
      <c r="J64" s="12" cm="1">
        <f t="array" ref="J64">$B$45*(1-F64)/sin_deg(H64)</f>
        <v>49.051314199065303</v>
      </c>
      <c r="K64" s="13">
        <f t="shared" si="47"/>
        <v>15.80818113336692</v>
      </c>
      <c r="L64" s="27">
        <f t="shared" si="36"/>
        <v>4.1325694739854821</v>
      </c>
      <c r="M64" s="27">
        <f t="shared" si="48"/>
        <v>3.4040839322257401</v>
      </c>
      <c r="N64" s="34">
        <f t="shared" si="41"/>
        <v>1.0483378575182041</v>
      </c>
      <c r="O64" s="34">
        <f t="shared" si="49"/>
        <v>7.5159127632872975E-3</v>
      </c>
      <c r="P64" s="10" cm="1">
        <f t="array" ref="P64">E64*(1-F64)^2*( N64*cos_deg(H64)+O64*sin_deg(H64) ) / sin_deg(H64)^2</f>
        <v>0.91866345964923934</v>
      </c>
      <c r="Q64" s="28" cm="1">
        <f t="array" ref="Q64">IF(P64&lt;0.96,1/(1+4*IF($L$50,I64,1)*sin_deg(H64)^2/(E64*N64*cos_deg(H64))),1/I64*(0.143+SQRT(0.0203-0.6427*(0.889-P64))))</f>
        <v>0.35664096995139866</v>
      </c>
      <c r="R64" s="28" cm="1">
        <f t="array" ref="R64">Q64/C64*tan_deg(H64)</f>
        <v>9.7983791108211989E-3</v>
      </c>
      <c r="S64" s="10" cm="1">
        <f t="array" ref="S64">I64*$B$13*$B$43/(PI()/4*$B$4^2*$B$45)*N64*D64/sin_deg(H64) *(1-O64/N64*1/tan_deg(H64) ) *  (1-Q64)^2 *A64*$B$14</f>
        <v>2.8964086635452472E-2</v>
      </c>
      <c r="T64" s="12">
        <f t="shared" si="50"/>
        <v>0.7918697309937992</v>
      </c>
      <c r="U64" s="10" cm="1">
        <f t="array" ref="U64">8/$B$11^2*G64*(1-F64)*(1-O64/N64*1/tan_deg(H64))*C64^3*($C$20-$C$19)</f>
        <v>3.2455759486600962E-2</v>
      </c>
      <c r="W64" s="7">
        <v>8.0320052176779058</v>
      </c>
      <c r="X64" s="7">
        <v>0.50129350285494245</v>
      </c>
    </row>
    <row r="65" spans="1:32">
      <c r="A65" s="7">
        <f t="shared" si="43"/>
        <v>68.912499999999994</v>
      </c>
      <c r="B65" s="7">
        <f t="shared" si="44"/>
        <v>0.58400423728813555</v>
      </c>
      <c r="C65" s="10">
        <f t="shared" si="37"/>
        <v>5.2560381355932204</v>
      </c>
      <c r="D65" s="10">
        <f t="shared" si="45"/>
        <v>4.6378732651602519</v>
      </c>
      <c r="E65" s="10">
        <f t="shared" si="46"/>
        <v>3.2133812686406797E-2</v>
      </c>
      <c r="F65" s="10">
        <v>0.37824258034094888</v>
      </c>
      <c r="G65" s="10">
        <v>8.4415770818265009E-3</v>
      </c>
      <c r="H65" s="10">
        <f t="shared" si="39"/>
        <v>6.6904318287613975</v>
      </c>
      <c r="I65" s="30" cm="1">
        <f t="array" ref="I65">2/PI()*ACOS( EXP(-($B$13/2*(1-B65)/(B65*sin_deg(H65)) ) ) )</f>
        <v>0.99993378830710811</v>
      </c>
      <c r="J65" s="12" cm="1">
        <f t="array" ref="J65">$B$45*(1-F65)/sin_deg(H65)</f>
        <v>53.36749939410749</v>
      </c>
      <c r="K65" s="13">
        <f t="shared" si="47"/>
        <v>16.435039752216937</v>
      </c>
      <c r="L65" s="27">
        <f t="shared" si="36"/>
        <v>3.4230245355632842</v>
      </c>
      <c r="M65" s="27">
        <f t="shared" si="48"/>
        <v>3.2674072931981133</v>
      </c>
      <c r="N65" s="34">
        <f t="shared" si="41"/>
        <v>1.0349108961407745</v>
      </c>
      <c r="O65" s="34">
        <f t="shared" si="49"/>
        <v>7.4857566533276434E-3</v>
      </c>
      <c r="P65" s="10" cm="1">
        <f t="array" ref="P65">E65*(1-F65)^2*( N65*cos_deg(H65)+O65*sin_deg(H65) ) / sin_deg(H65)^2</f>
        <v>0.94149854137802091</v>
      </c>
      <c r="Q65" s="28" cm="1">
        <f t="array" ref="Q65">IF(P65&lt;0.96,1/(1+4*IF($L$50,I65,1)*sin_deg(H65)^2/(E65*N65*cos_deg(H65))),1/I65*(0.143+SQRT(0.0203-0.6427*(0.889-P65))))</f>
        <v>0.37824254224701226</v>
      </c>
      <c r="R65" s="28" cm="1">
        <f t="array" ref="R65">Q65/C65*tan_deg(H65)</f>
        <v>8.4415772428018884E-3</v>
      </c>
      <c r="S65" s="10" cm="1">
        <f t="array" ref="S65">I65*$B$13*$B$43/(PI()/4*$B$4^2*$B$45)*N65*D65/sin_deg(H65) *(1-O65/N65*1/tan_deg(H65) ) *  (1-Q65)^2 *A65*$B$14</f>
        <v>3.1107700415057293E-2</v>
      </c>
      <c r="T65" s="12">
        <f t="shared" si="50"/>
        <v>0.85047551022567558</v>
      </c>
      <c r="U65" s="10" cm="1">
        <f t="array" ref="U65">8/$B$11^2*G65*(1-F65)*(1-O65/N65*1/tan_deg(H65))*C65^3*($C$20-$C$19)</f>
        <v>3.4859018653869478E-2</v>
      </c>
      <c r="W65" s="7">
        <v>8.6498517728838973</v>
      </c>
      <c r="X65" s="7">
        <v>0.49778415427843614</v>
      </c>
    </row>
    <row r="66" spans="1:32">
      <c r="A66" s="7">
        <f t="shared" si="43"/>
        <v>74.6875</v>
      </c>
      <c r="B66" s="7">
        <f t="shared" si="44"/>
        <v>0.63294491525423724</v>
      </c>
      <c r="C66" s="10">
        <f t="shared" si="37"/>
        <v>5.6965042372881349</v>
      </c>
      <c r="D66" s="10">
        <f t="shared" si="45"/>
        <v>4.4222331891215347</v>
      </c>
      <c r="E66" s="10">
        <f t="shared" si="46"/>
        <v>2.8270605049856883E-2</v>
      </c>
      <c r="F66" s="10">
        <v>0.39870431629784303</v>
      </c>
      <c r="G66" s="10">
        <v>7.3341290113251353E-3</v>
      </c>
      <c r="H66" s="10">
        <f t="shared" si="39"/>
        <v>5.9820040736191089</v>
      </c>
      <c r="I66" s="30" cm="1">
        <f t="array" ref="I66">2/PI()*ACOS( EXP(-($B$13/2*(1-B66)/(B66*sin_deg(H66)) ) ) )</f>
        <v>0.999849028160952</v>
      </c>
      <c r="J66" s="12" cm="1">
        <f t="array" ref="J66">$B$45*(1-F66)/sin_deg(H66)</f>
        <v>57.697009323183813</v>
      </c>
      <c r="K66" s="13">
        <f t="shared" si="47"/>
        <v>16.942206476894956</v>
      </c>
      <c r="L66" s="27">
        <f t="shared" si="36"/>
        <v>2.8187714658430538</v>
      </c>
      <c r="M66" s="27">
        <f t="shared" si="48"/>
        <v>3.1632326077760551</v>
      </c>
      <c r="N66" s="34">
        <f t="shared" si="41"/>
        <v>1.0245390589025281</v>
      </c>
      <c r="O66" s="34">
        <f t="shared" si="49"/>
        <v>7.4650990798153126E-3</v>
      </c>
      <c r="P66" s="10" cm="1">
        <f t="array" ref="P66">E66*(1-F66)^2*( N66*cos_deg(H66)+O66*sin_deg(H66) ) / sin_deg(H66)^2</f>
        <v>0.95968863724510989</v>
      </c>
      <c r="Q66" s="28" cm="1">
        <f t="array" ref="Q66">IF(P66&lt;0.96,1/(1+4*IF($L$50,I66,1)*sin_deg(H66)^2/(E66*N66*cos_deg(H66))),1/I66*(0.143+SQRT(0.0203-0.6427*(0.889-P66))))</f>
        <v>0.39870424858749809</v>
      </c>
      <c r="R66" s="28" cm="1">
        <f t="array" ref="R66">Q66/C66*tan_deg(H66)</f>
        <v>7.3341292362194988E-3</v>
      </c>
      <c r="S66" s="10" cm="1">
        <f t="array" ref="S66">I66*$B$13*$B$43/(PI()/4*$B$4^2*$B$45)*N66*D66/sin_deg(H66) *(1-O66/N66*1/tan_deg(H66) ) *  (1-Q66)^2 *A66*$B$14</f>
        <v>3.2992413419356999E-2</v>
      </c>
      <c r="T66" s="12">
        <f t="shared" si="50"/>
        <v>0.90200301732436472</v>
      </c>
      <c r="U66" s="10" cm="1">
        <f t="array" ref="U66">8/$B$11^2*G66*(1-F66)*(1-O66/N66*1/tan_deg(H66))*C66^3*($C$20-$C$19)</f>
        <v>3.6974143476539767E-2</v>
      </c>
      <c r="W66" s="7">
        <v>9.2676983280898888</v>
      </c>
      <c r="X66" s="7">
        <v>0.47341469451527596</v>
      </c>
    </row>
    <row r="67" spans="1:32">
      <c r="A67" s="7">
        <f t="shared" si="43"/>
        <v>80.462500000000006</v>
      </c>
      <c r="B67" s="7">
        <f t="shared" si="44"/>
        <v>0.68188559322033904</v>
      </c>
      <c r="C67" s="10">
        <f t="shared" si="37"/>
        <v>6.1369703389830512</v>
      </c>
      <c r="D67" s="10">
        <f t="shared" si="45"/>
        <v>4.2065931130828167</v>
      </c>
      <c r="E67" s="10">
        <f t="shared" si="46"/>
        <v>2.4961942054626235E-2</v>
      </c>
      <c r="F67" s="10">
        <v>0.41691840285494186</v>
      </c>
      <c r="G67" s="10">
        <v>6.4135118153329481E-3</v>
      </c>
      <c r="H67" s="10">
        <f t="shared" si="39"/>
        <v>5.3930721292681998</v>
      </c>
      <c r="I67" s="30" cm="1">
        <f t="array" ref="I67">2/PI()*ACOS( EXP(-($B$13/2*(1-B67)/(B67*sin_deg(H67)) ) ) )</f>
        <v>0.99962815480093825</v>
      </c>
      <c r="J67" s="12" cm="1">
        <f t="array" ref="J67">$B$45*(1-F67)/sin_deg(H67)</f>
        <v>62.037918797810711</v>
      </c>
      <c r="K67" s="13">
        <f t="shared" si="47"/>
        <v>17.328571179605678</v>
      </c>
      <c r="L67" s="27">
        <f t="shared" si="36"/>
        <v>2.2982376127281654</v>
      </c>
      <c r="M67" s="27">
        <f t="shared" si="48"/>
        <v>3.0948345165400344</v>
      </c>
      <c r="N67" s="34">
        <f t="shared" si="41"/>
        <v>1.0176641063951823</v>
      </c>
      <c r="O67" s="34">
        <f t="shared" si="49"/>
        <v>7.4525481557965838E-3</v>
      </c>
      <c r="P67" s="10" cm="1">
        <f t="array" ref="P67">E67*(1-F67)^2*( N67*cos_deg(H67)+O67*sin_deg(H67) ) / sin_deg(H67)^2</f>
        <v>0.97402627167593958</v>
      </c>
      <c r="Q67" s="28" cm="1">
        <f t="array" ref="Q67">IF(P67&lt;0.96,1/(1+4*IF($L$50,I67,1)*sin_deg(H67)^2/(E67*N67*cos_deg(H67))),1/I67*(0.143+SQRT(0.0203-0.6427*(0.889-P67))))</f>
        <v>0.41691840285493897</v>
      </c>
      <c r="R67" s="28" cm="1">
        <f t="array" ref="R67">Q67/C67*tan_deg(H67)</f>
        <v>6.4135118153311474E-3</v>
      </c>
      <c r="S67" s="10" cm="1">
        <f t="array" ref="S67">I67*$B$13*$B$43/(PI()/4*$B$4^2*$B$45)*N67*D67/sin_deg(H67) *(1-O67/N67*1/tan_deg(H67) ) *  (1-Q67)^2 *A67*$B$14</f>
        <v>3.4706126932430137E-2</v>
      </c>
      <c r="T67" s="12">
        <f t="shared" si="50"/>
        <v>0.94885544791116683</v>
      </c>
      <c r="U67" s="10" cm="1">
        <f t="array" ref="U67">8/$B$11^2*G67*(1-F67)*(1-O67/N67*1/tan_deg(H67))*C67^3*($C$20-$C$19)</f>
        <v>3.8864766765232026E-2</v>
      </c>
      <c r="W67" s="7">
        <v>9.8855448832958821</v>
      </c>
      <c r="X67" s="7">
        <v>0.45189568288338838</v>
      </c>
    </row>
    <row r="68" spans="1:32">
      <c r="A68" s="7">
        <f t="shared" si="43"/>
        <v>86.237500000000011</v>
      </c>
      <c r="B68" s="7">
        <f t="shared" si="44"/>
        <v>0.73082627118644072</v>
      </c>
      <c r="C68" s="10">
        <f t="shared" si="37"/>
        <v>6.5774364406779666</v>
      </c>
      <c r="D68" s="10">
        <f t="shared" si="45"/>
        <v>3.9909530370440995</v>
      </c>
      <c r="E68" s="10">
        <f t="shared" si="46"/>
        <v>2.20964164137358E-2</v>
      </c>
      <c r="F68" s="10">
        <v>0.43083222174128677</v>
      </c>
      <c r="G68" s="10">
        <v>5.6363016278193259E-3</v>
      </c>
      <c r="H68" s="10">
        <f t="shared" si="39"/>
        <v>4.9180945519850789</v>
      </c>
      <c r="I68" s="30" cm="1">
        <f t="array" ref="I68">2/PI()*ACOS( EXP(-($B$13/2*(1-B68)/(B68*sin_deg(H68)) ) ) )</f>
        <v>0.99898795450026179</v>
      </c>
      <c r="J68" s="12" cm="1">
        <f t="array" ref="J68">$B$45*(1-F68)/sin_deg(H68)</f>
        <v>66.389515792854453</v>
      </c>
      <c r="K68" s="13">
        <f t="shared" si="47"/>
        <v>17.593455490131451</v>
      </c>
      <c r="L68" s="27">
        <f t="shared" si="36"/>
        <v>1.8453102327851614</v>
      </c>
      <c r="M68" s="27">
        <f t="shared" si="48"/>
        <v>3.0727843191999176</v>
      </c>
      <c r="N68" s="34">
        <f t="shared" si="41"/>
        <v>1.0154367290544921</v>
      </c>
      <c r="O68" s="34">
        <f t="shared" si="49"/>
        <v>7.4486642307185127E-3</v>
      </c>
      <c r="P68" s="10" cm="1">
        <f t="array" ref="P68">E68*(1-F68)^2*( N68*cos_deg(H68)+O68*sin_deg(H68) ) / sin_deg(H68)^2</f>
        <v>0.98592947834802969</v>
      </c>
      <c r="Q68" s="28" cm="1">
        <f t="array" ref="Q68">IF(P68&lt;0.96,1/(1+4*IF($L$50,I68,1)*sin_deg(H68)^2/(E68*N68*cos_deg(H68))),1/I68*(0.143+SQRT(0.0203-0.6427*(0.889-P68))))</f>
        <v>0.43083222174128449</v>
      </c>
      <c r="R68" s="28" cm="1">
        <f t="array" ref="R68">Q68/C68*tan_deg(H68)</f>
        <v>5.6363016278181896E-3</v>
      </c>
      <c r="S68" s="10" cm="1">
        <f t="array" ref="S68">I68*$B$13*$B$43/(PI()/4*$B$4^2*$B$45)*N68*D68/sin_deg(H68) *(1-O68/N68*1/tan_deg(H68) ) *  (1-Q68)^2 *A68*$B$14</f>
        <v>3.6454324599613799E-2</v>
      </c>
      <c r="T68" s="12">
        <f t="shared" si="50"/>
        <v>0.99665066527328627</v>
      </c>
      <c r="U68" s="10" cm="1">
        <f t="array" ref="U68">8/$B$11^2*G68*(1-F68)*(1-O68/N68*1/tan_deg(H68))*C68^3*($C$20-$C$19)</f>
        <v>4.0704647211389035E-2</v>
      </c>
      <c r="W68" s="7">
        <v>10.503391438501875</v>
      </c>
      <c r="X68" s="7">
        <v>0.42931370507256433</v>
      </c>
    </row>
    <row r="69" spans="1:32">
      <c r="A69" s="7">
        <f t="shared" si="43"/>
        <v>92.012500000000017</v>
      </c>
      <c r="B69" s="7">
        <f t="shared" si="44"/>
        <v>0.77976694915254252</v>
      </c>
      <c r="C69" s="10">
        <f t="shared" si="37"/>
        <v>7.0179025423728829</v>
      </c>
      <c r="D69" s="10">
        <f t="shared" si="45"/>
        <v>3.7753129610053815</v>
      </c>
      <c r="E69" s="10">
        <f t="shared" si="46"/>
        <v>1.9590589956676743E-2</v>
      </c>
      <c r="F69" s="10">
        <v>0.44097208699837359</v>
      </c>
      <c r="G69" s="10">
        <v>4.9804926343777912E-3</v>
      </c>
      <c r="H69" s="10">
        <f t="shared" si="39"/>
        <v>4.5319398070660695</v>
      </c>
      <c r="I69" s="30" cm="1">
        <f t="array" ref="I69">2/PI()*ACOS( EXP(-($B$13/2*(1-B69)/(B69*sin_deg(H69)) ) ) )</f>
        <v>0.99701230355324999</v>
      </c>
      <c r="J69" s="12" cm="1">
        <f t="array" ref="J69">$B$45*(1-F69)/sin_deg(H69)</f>
        <v>70.749753751610513</v>
      </c>
      <c r="K69" s="13">
        <f t="shared" si="47"/>
        <v>17.735887272668943</v>
      </c>
      <c r="L69" s="27">
        <f t="shared" si="36"/>
        <v>1.4477274277529597</v>
      </c>
      <c r="M69" s="27">
        <f t="shared" si="48"/>
        <v>3.0842123793131098</v>
      </c>
      <c r="N69" s="34">
        <f t="shared" si="41"/>
        <v>1.016591794366392</v>
      </c>
      <c r="O69" s="34">
        <f t="shared" si="49"/>
        <v>7.4506675129476802E-3</v>
      </c>
      <c r="P69" s="10" cm="1">
        <f t="array" ref="P69">E69*(1-F69)^2*( N69*cos_deg(H69)+O69*sin_deg(H69) ) / sin_deg(H69)^2</f>
        <v>0.99434300526332464</v>
      </c>
      <c r="Q69" s="28" cm="1">
        <f t="array" ref="Q69">IF(P69&lt;0.96,1/(1+4*IF($L$50,I69,1)*sin_deg(H69)^2/(E69*N69*cos_deg(H69))),1/I69*(0.143+SQRT(0.0203-0.6427*(0.889-P69))))</f>
        <v>0.44097208699837659</v>
      </c>
      <c r="R69" s="28" cm="1">
        <f t="array" ref="R69">Q69/C69*tan_deg(H69)</f>
        <v>4.9804926343796508E-3</v>
      </c>
      <c r="S69" s="10" cm="1">
        <f t="array" ref="S69">I69*$B$13*$B$43/(PI()/4*$B$4^2*$B$45)*N69*D69/sin_deg(H69) *(1-O69/N69*1/tan_deg(H69) ) *  (1-Q69)^2 *A69*$B$14</f>
        <v>3.8175813643527942E-2</v>
      </c>
      <c r="T69" s="12">
        <f t="shared" si="50"/>
        <v>1.0437156766189057</v>
      </c>
      <c r="U69" s="10" cm="1">
        <f t="array" ref="U69">8/$B$11^2*G69*(1-F69)*(1-O69/N69*1/tan_deg(H69))*C69^3*($C$20-$C$19)</f>
        <v>4.2572278147873212E-2</v>
      </c>
      <c r="W69" s="7">
        <v>11.121237993707869</v>
      </c>
      <c r="X69" s="7">
        <v>0.40451001610710052</v>
      </c>
    </row>
    <row r="70" spans="1:32">
      <c r="A70" s="7">
        <f t="shared" si="43"/>
        <v>97.787500000000023</v>
      </c>
      <c r="B70" s="7">
        <f t="shared" si="44"/>
        <v>0.82870762711864421</v>
      </c>
      <c r="C70" s="10">
        <f t="shared" si="37"/>
        <v>7.4583686440677983</v>
      </c>
      <c r="D70" s="10">
        <f t="shared" si="45"/>
        <v>3.5596728849666643</v>
      </c>
      <c r="E70" s="10">
        <f t="shared" si="46"/>
        <v>1.7380734820891183E-2</v>
      </c>
      <c r="F70" s="10">
        <v>0.44798902743064117</v>
      </c>
      <c r="G70" s="10">
        <v>4.4259801883989973E-3</v>
      </c>
      <c r="H70" s="10">
        <f t="shared" si="39"/>
        <v>4.2142896433254391</v>
      </c>
      <c r="I70" s="30" cm="1">
        <f t="array" ref="I70">2/PI()*ACOS( EXP(-($B$13/2*(1-B70)/(B70*sin_deg(H70)) ) ) )</f>
        <v>0.99063361053473609</v>
      </c>
      <c r="J70" s="12" cm="1">
        <f t="array" ref="J70">$B$45*(1-F70)/sin_deg(H70)</f>
        <v>75.116893776402463</v>
      </c>
      <c r="K70" s="13">
        <f t="shared" si="47"/>
        <v>17.755084327940306</v>
      </c>
      <c r="L70" s="27">
        <f t="shared" si="36"/>
        <v>1.0960015983364499</v>
      </c>
      <c r="M70" s="27">
        <f t="shared" si="48"/>
        <v>3.1182880449889891</v>
      </c>
      <c r="N70" s="34">
        <f t="shared" si="41"/>
        <v>1.0200273350792806</v>
      </c>
      <c r="O70" s="34">
        <f t="shared" si="49"/>
        <v>7.4567649969739837E-3</v>
      </c>
      <c r="P70" s="10" cm="1">
        <f t="array" ref="P70">E70*(1-F70)^2*( N70*cos_deg(H70)+O70*sin_deg(H70) ) / sin_deg(H70)^2</f>
        <v>0.99819001316892542</v>
      </c>
      <c r="Q70" s="28" cm="1">
        <f t="array" ref="Q70">IF(P70&lt;0.96,1/(1+4*IF($L$50,I70,1)*sin_deg(H70)^2/(E70*N70*cos_deg(H70))),1/I70*(0.143+SQRT(0.0203-0.6427*(0.889-P70))))</f>
        <v>0.44798902743064462</v>
      </c>
      <c r="R70" s="28" cm="1">
        <f t="array" ref="R70">Q70/C70*tan_deg(H70)</f>
        <v>4.4259801884005811E-3</v>
      </c>
      <c r="S70" s="10" cm="1">
        <f t="array" ref="S70">I70*$B$13*$B$43/(PI()/4*$B$4^2*$B$45)*N70*D70/sin_deg(H70) *(1-O70/N70*1/tan_deg(H70) ) *  (1-Q70)^2 *A70*$B$14</f>
        <v>3.9686915812046905E-2</v>
      </c>
      <c r="T70" s="12">
        <f t="shared" si="50"/>
        <v>1.0850287717891363</v>
      </c>
      <c r="U70" s="10" cm="1">
        <f t="array" ref="U70">8/$B$11^2*G70*(1-F70)*(1-O70/N70*1/tan_deg(H70))*C70^3*($C$20-$C$19)</f>
        <v>4.4509073730030567E-2</v>
      </c>
      <c r="W70" s="7">
        <v>11.73908454891386</v>
      </c>
      <c r="X70" s="7">
        <v>0.37726377379372106</v>
      </c>
    </row>
    <row r="71" spans="1:32">
      <c r="A71" s="7">
        <f t="shared" si="43"/>
        <v>103.56250000000003</v>
      </c>
      <c r="B71" s="7">
        <f t="shared" si="44"/>
        <v>0.87764830508474601</v>
      </c>
      <c r="C71" s="10">
        <f t="shared" si="37"/>
        <v>7.8988347457627137</v>
      </c>
      <c r="D71" s="10">
        <f t="shared" si="45"/>
        <v>3.3440328089279467</v>
      </c>
      <c r="E71" s="10">
        <f t="shared" si="46"/>
        <v>1.5417337880092448E-2</v>
      </c>
      <c r="F71" s="10">
        <v>0.45436169881491961</v>
      </c>
      <c r="G71" s="10">
        <v>3.9579017680937915E-3</v>
      </c>
      <c r="H71" s="10">
        <f t="shared" si="39"/>
        <v>3.9360897915343105</v>
      </c>
      <c r="I71" s="30" cm="1">
        <f t="array" ref="I71">2/PI()*ACOS( EXP(-($B$13/2*(1-B71)/(B71*sin_deg(H71)) ) ) )</f>
        <v>0.96972876471976754</v>
      </c>
      <c r="J71" s="12" cm="1">
        <f t="array" ref="J71">$B$45*(1-F71)/sin_deg(H71)</f>
        <v>79.488468703058814</v>
      </c>
      <c r="K71" s="13">
        <f t="shared" si="47"/>
        <v>17.650202342262347</v>
      </c>
      <c r="L71" s="27">
        <f t="shared" si="36"/>
        <v>0.78268224726418723</v>
      </c>
      <c r="M71" s="27">
        <f t="shared" si="48"/>
        <v>3.1534075442701233</v>
      </c>
      <c r="N71" s="34">
        <f t="shared" si="41"/>
        <v>1.0235546831852296</v>
      </c>
      <c r="O71" s="34">
        <f t="shared" si="49"/>
        <v>7.4632483324107088E-3</v>
      </c>
      <c r="P71" s="10" cm="1">
        <f t="array" ref="P71">E71*(1-F71)^2*( N71*cos_deg(H71)+O71*sin_deg(H71) ) / sin_deg(H71)^2</f>
        <v>0.99522419307873689</v>
      </c>
      <c r="Q71" s="28" cm="1">
        <f t="array" ref="Q71">IF(P71&lt;0.96,1/(1+4*IF($L$50,I71,1)*sin_deg(H71)^2/(E71*N71*cos_deg(H71))),1/I71*(0.143+SQRT(0.0203-0.6427*(0.889-P71))))</f>
        <v>0.45436169881492211</v>
      </c>
      <c r="R71" s="28" cm="1">
        <f t="array" ref="R71">Q71/C71*tan_deg(H71)</f>
        <v>3.9579017680952244E-3</v>
      </c>
      <c r="S71" s="10" cm="1">
        <f t="array" ref="S71">I71*$B$13*$B$43/(PI()/4*$B$4^2*$B$45)*N71*D71/sin_deg(H71) *(1-O71/N71*1/tan_deg(H71) ) *  (1-Q71)^2 *A71*$B$14</f>
        <v>4.0263767853852599E-2</v>
      </c>
      <c r="T71" s="12">
        <f t="shared" si="50"/>
        <v>1.1007997393641602</v>
      </c>
      <c r="U71" s="10" cm="1">
        <f t="array" ref="U71">8/$B$11^2*G71*(1-F71)*(1-O71/N71*1/tan_deg(H71))*C71^3*($C$20-$C$19)</f>
        <v>4.6381642328465401E-2</v>
      </c>
      <c r="W71" s="7">
        <v>12.356931104119852</v>
      </c>
      <c r="X71" s="7">
        <v>0.34750810727570275</v>
      </c>
    </row>
    <row r="72" spans="1:32">
      <c r="A72" s="7">
        <f t="shared" si="43"/>
        <v>109.33750000000003</v>
      </c>
      <c r="B72" s="7">
        <f t="shared" si="44"/>
        <v>0.92658898305084769</v>
      </c>
      <c r="C72" s="10">
        <f t="shared" si="37"/>
        <v>8.3393008474576291</v>
      </c>
      <c r="D72" s="10">
        <f t="shared" si="45"/>
        <v>3.1283927328892291</v>
      </c>
      <c r="E72" s="10">
        <f t="shared" si="46"/>
        <v>1.3661346766811498E-2</v>
      </c>
      <c r="F72" s="10">
        <v>0.4689561393543783</v>
      </c>
      <c r="G72" s="10">
        <v>3.5682594460496762E-3</v>
      </c>
      <c r="H72" s="10">
        <f t="shared" si="39"/>
        <v>3.6307355011741831</v>
      </c>
      <c r="I72" s="30" cm="1">
        <f t="array" ref="I72">2/PI()*ACOS( EXP(-($B$13/2*(1-B72)/(B72*sin_deg(H72)) ) ) )</f>
        <v>0.90214763586029456</v>
      </c>
      <c r="J72" s="12" cm="1">
        <f t="array" ref="J72">$B$45*(1-F72)/sin_deg(H72)</f>
        <v>83.858888157244721</v>
      </c>
      <c r="K72" s="13">
        <f t="shared" si="47"/>
        <v>17.419889528505642</v>
      </c>
      <c r="L72" s="27">
        <f t="shared" si="36"/>
        <v>0.50184045288557844</v>
      </c>
      <c r="M72" s="27">
        <f t="shared" si="48"/>
        <v>3.1288950482886047</v>
      </c>
      <c r="N72" s="34">
        <f t="shared" si="41"/>
        <v>1.0210941224546937</v>
      </c>
      <c r="O72" s="34">
        <f t="shared" si="49"/>
        <v>7.4587015711239683E-3</v>
      </c>
      <c r="P72" s="10" cm="1">
        <f t="array" ref="P72">E72*(1-F72)^2*( N72*cos_deg(H72)+O72*sin_deg(H72) ) / sin_deg(H72)^2</f>
        <v>0.97945884727923682</v>
      </c>
      <c r="Q72" s="28" cm="1">
        <f t="array" ref="Q72">IF(P72&lt;0.96,1/(1+4*IF($L$50,I72,1)*sin_deg(H72)^2/(E72*N72*cos_deg(H72))),1/I72*(0.143+SQRT(0.0203-0.6427*(0.889-P72))))</f>
        <v>0.46895613935438085</v>
      </c>
      <c r="R72" s="28" cm="1">
        <f t="array" ref="R72">Q72/C72*tan_deg(H72)</f>
        <v>3.5682594460509599E-3</v>
      </c>
      <c r="S72" s="10" cm="1">
        <f t="array" ref="S72">I72*$B$13*$B$43/(PI()/4*$B$4^2*$B$45)*N72*D72/sin_deg(H72) *(1-O72/N72*1/tan_deg(H72) ) *  (1-Q72)^2 *A72*$B$14</f>
        <v>3.7507529689867189E-2</v>
      </c>
      <c r="T72" s="12">
        <f t="shared" si="50"/>
        <v>1.025444987082814</v>
      </c>
      <c r="U72" s="10" cm="1">
        <f t="array" ref="U72">8/$B$11^2*G72*(1-F72)*(1-O72/N72*1/tan_deg(H72))*C72^3*($C$20-$C$19)</f>
        <v>4.740204076692793E-2</v>
      </c>
      <c r="W72" s="7">
        <v>12.974777659325847</v>
      </c>
      <c r="X72" s="7">
        <v>0.31508100069081024</v>
      </c>
    </row>
    <row r="73" spans="1:32">
      <c r="A73" s="7">
        <f t="shared" si="43"/>
        <v>115.11250000000004</v>
      </c>
      <c r="B73" s="7">
        <f t="shared" si="44"/>
        <v>0.97552966101694949</v>
      </c>
      <c r="C73" s="10">
        <f>B73*$B$46</f>
        <v>8.7797669491525454</v>
      </c>
      <c r="D73" s="10">
        <f>$F$50*B73+$F$51</f>
        <v>2.9127526568505111</v>
      </c>
      <c r="E73" s="10">
        <f>$B$13*D73/(2*PI()*A73)</f>
        <v>1.2081545879252293E-2</v>
      </c>
      <c r="F73" s="10">
        <v>0.53121011884168601</v>
      </c>
      <c r="G73" s="10">
        <v>3.2464969580296185E-3</v>
      </c>
      <c r="H73" s="10">
        <f>ATAN((1-F73)/(C73*(1+G73)))*180/PI()</f>
        <v>3.0464964211120193</v>
      </c>
      <c r="I73" s="30" cm="1">
        <f t="array" ref="I73">2/PI()*ACOS( EXP(-($B$13/2*(1-B73)/(B73*sin_deg(H73)) ) ) )</f>
        <v>0.67206300234294625</v>
      </c>
      <c r="J73" s="12" cm="1">
        <f t="array" ref="J73">$B$45*(1-F73)/sin_deg(H73)</f>
        <v>88.207363483450848</v>
      </c>
      <c r="K73" s="13">
        <f t="shared" si="47"/>
        <v>17.060174790185936</v>
      </c>
      <c r="L73" s="27">
        <f t="shared" si="36"/>
        <v>0.2487014473369511</v>
      </c>
      <c r="M73" s="27">
        <f>H73-L73</f>
        <v>2.7977949737750683</v>
      </c>
      <c r="N73" s="34">
        <f t="shared" si="41"/>
        <v>0.987205164239499</v>
      </c>
      <c r="O73" s="34">
        <f t="shared" si="49"/>
        <v>7.4061966908251977E-3</v>
      </c>
      <c r="P73" s="48" cm="1">
        <f t="array" ref="P73">E73*(1-F73)^2*( N73*cos_deg(H73)+O73*sin_deg(H73) ) / sin_deg(H73)^2</f>
        <v>0.92704063399893555</v>
      </c>
      <c r="Q73" s="28" cm="1">
        <f t="array" ref="Q73">IF(P73&lt;0.96,1/(1+4*sin_deg(H73)^2/(E73*N73*cos_deg(H73))),1/I73*(0.143+SQRT(0.0203-0.6427*(0.889-P73))))</f>
        <v>0.51318439572711372</v>
      </c>
      <c r="R73" s="28" cm="1">
        <f t="array" ref="R73">Q73/C73*tan_deg(H73)</f>
        <v>3.1108426854347983E-3</v>
      </c>
      <c r="S73" s="10" cm="1">
        <f t="array" ref="S73">I73*$B$13*$B$43/(PI()/4*$B$4^2*$B$45)*N73*D73/sin_deg(H73) *(1-O73/N73*1/tan_deg(H73) ) *  (1-Q73)^2 *A73*$B$14</f>
        <v>2.5741368154124186E-2</v>
      </c>
      <c r="T73" s="12">
        <f t="shared" si="50"/>
        <v>0.70376154208393304</v>
      </c>
      <c r="U73" s="10" cm="1">
        <f t="array" ref="U73">8/$B$11^2*G73*(1-F73)*(1-O73/N73*1/tan_deg(H73))*C73^3*($C$20-$C$19)</f>
        <v>4.3131131818869885E-2</v>
      </c>
      <c r="W73" s="7">
        <v>13.592624214531835</v>
      </c>
      <c r="X73" s="7">
        <v>0.27980346297053177</v>
      </c>
    </row>
    <row r="74" spans="1:32">
      <c r="P74" s="50"/>
      <c r="W74" s="7">
        <v>14.21047076973783</v>
      </c>
      <c r="X74" s="7">
        <v>0.24152915761201721</v>
      </c>
    </row>
    <row r="75" spans="1:32">
      <c r="A75" s="45"/>
      <c r="B75" s="45"/>
      <c r="C75" s="2" t="s">
        <v>70</v>
      </c>
      <c r="F75" s="7">
        <f>H$50*F54+(1-H$50)*Q54</f>
        <v>0.18685637095331242</v>
      </c>
      <c r="G75" s="7">
        <f>I$50*G54+(1-I$50)*R54</f>
        <v>0.57231976165638665</v>
      </c>
      <c r="W75" s="7">
        <v>14.828317324943821</v>
      </c>
      <c r="X75" s="7">
        <v>0.2003099953988797</v>
      </c>
      <c r="AB75" s="3"/>
      <c r="AC75" s="3"/>
      <c r="AD75" s="3"/>
      <c r="AE75" s="3"/>
      <c r="AF75" s="3"/>
    </row>
    <row r="76" spans="1:32">
      <c r="A76" s="45"/>
      <c r="B76" s="45"/>
      <c r="C76" s="2" t="s">
        <v>74</v>
      </c>
      <c r="F76" s="7">
        <f t="shared" ref="F76:G76" si="51">H$50*F55+(1-H$50)*Q55</f>
        <v>0.16262150678361759</v>
      </c>
      <c r="G76" s="7">
        <f t="shared" si="51"/>
        <v>0.1617169423086588</v>
      </c>
      <c r="W76" s="7">
        <v>15.446163880149816</v>
      </c>
      <c r="X76" s="7">
        <v>0.15399155811586562</v>
      </c>
    </row>
    <row r="77" spans="1:32">
      <c r="A77" s="45"/>
      <c r="B77" s="45"/>
      <c r="C77" s="2" t="s">
        <v>67</v>
      </c>
      <c r="F77" s="7">
        <f t="shared" ref="F77:G77" si="52">H$50*F56+(1-H$50)*Q56</f>
        <v>0.17575802173052163</v>
      </c>
      <c r="G77" s="7">
        <f t="shared" si="52"/>
        <v>8.0349985292743981E-2</v>
      </c>
      <c r="W77" s="7">
        <v>16.064010435355812</v>
      </c>
      <c r="X77" s="7">
        <v>0.10989533699838351</v>
      </c>
    </row>
    <row r="78" spans="1:32">
      <c r="A78" s="45"/>
      <c r="B78" s="45"/>
      <c r="C78" s="45" t="s">
        <v>68</v>
      </c>
      <c r="F78" s="7">
        <f t="shared" ref="F78:G78" si="53">H$50*F57+(1-H$50)*Q57</f>
        <v>0.19573817214436953</v>
      </c>
      <c r="G78" s="7">
        <f t="shared" si="53"/>
        <v>4.9962956598405057E-2</v>
      </c>
      <c r="W78" s="7">
        <v>16.681856990561801</v>
      </c>
      <c r="X78" s="7">
        <v>5.8088932805922103E-2</v>
      </c>
    </row>
    <row r="79" spans="1:32">
      <c r="A79" s="45"/>
      <c r="B79" s="45"/>
      <c r="C79" s="45" t="s">
        <v>69</v>
      </c>
      <c r="F79" s="7">
        <f t="shared" ref="F79:G79" si="54">H$50*F58+(1-H$50)*Q58</f>
        <v>0.21794718063897928</v>
      </c>
      <c r="G79" s="7">
        <f t="shared" si="54"/>
        <v>3.4887086333032738E-2</v>
      </c>
      <c r="W79" s="7"/>
      <c r="X79" s="7"/>
    </row>
    <row r="80" spans="1:32">
      <c r="A80" s="45"/>
      <c r="B80" s="45"/>
      <c r="C80" s="49"/>
      <c r="F80" s="7">
        <f t="shared" ref="F80:G80" si="55">H$50*F59+(1-H$50)*Q59</f>
        <v>0.24105339043504798</v>
      </c>
      <c r="G80" s="7">
        <f t="shared" si="55"/>
        <v>2.6107923625903605E-2</v>
      </c>
    </row>
    <row r="81" spans="1:22">
      <c r="A81" s="45"/>
      <c r="B81" s="45"/>
      <c r="C81" s="49"/>
      <c r="F81" s="7">
        <f t="shared" ref="F81:G81" si="56">H$50*F60+(1-H$50)*Q60</f>
        <v>0.26449766974973632</v>
      </c>
      <c r="G81" s="7">
        <f t="shared" si="56"/>
        <v>2.0443813258095106E-2</v>
      </c>
    </row>
    <row r="82" spans="1:22">
      <c r="A82" s="45"/>
      <c r="B82" s="45"/>
      <c r="C82" s="49"/>
      <c r="F82" s="7">
        <f t="shared" ref="F82:G82" si="57">H$50*F61+(1-H$50)*Q61</f>
        <v>0.28797773520591374</v>
      </c>
      <c r="G82" s="7">
        <f t="shared" si="57"/>
        <v>1.6521404957162728E-2</v>
      </c>
    </row>
    <row r="83" spans="1:22">
      <c r="A83" s="45"/>
      <c r="B83" s="45"/>
      <c r="C83" s="49"/>
      <c r="F83" s="7">
        <f t="shared" ref="F83:G83" si="58">H$50*F62+(1-H$50)*Q62</f>
        <v>0.31128581113761428</v>
      </c>
      <c r="G83" s="7">
        <f t="shared" si="58"/>
        <v>1.3661408622231822E-2</v>
      </c>
    </row>
    <row r="84" spans="1:22">
      <c r="A84" s="45"/>
      <c r="B84" s="45"/>
      <c r="C84" s="49"/>
      <c r="F84" s="7">
        <f t="shared" ref="F84:G84" si="59">H$50*F63+(1-H$50)*Q63</f>
        <v>0.33423946807348476</v>
      </c>
      <c r="G84" s="7">
        <f t="shared" si="59"/>
        <v>1.1493061473028938E-2</v>
      </c>
      <c r="T84" s="44" t="s">
        <v>61</v>
      </c>
      <c r="U84" s="7" t="s">
        <v>52</v>
      </c>
    </row>
    <row r="85" spans="1:22">
      <c r="A85" s="45"/>
      <c r="B85" s="45"/>
      <c r="C85" s="49"/>
      <c r="F85" s="7">
        <f t="shared" ref="F85:G85" si="60">H$50*F64+(1-H$50)*Q64</f>
        <v>0.35664094349461017</v>
      </c>
      <c r="G85" s="7">
        <f t="shared" si="60"/>
        <v>9.7983792597825369E-3</v>
      </c>
      <c r="T85" s="12">
        <f>B46</f>
        <v>9</v>
      </c>
      <c r="U85" s="10">
        <f>SUM(S54:S73)</f>
        <v>0.48218915392942224</v>
      </c>
    </row>
    <row r="86" spans="1:22">
      <c r="A86" s="45"/>
      <c r="B86" s="45"/>
      <c r="C86" s="49"/>
      <c r="F86" s="7">
        <f t="shared" ref="F86:G86" si="61">H$50*F65+(1-H$50)*Q65</f>
        <v>0.37824256129398059</v>
      </c>
      <c r="G86" s="7">
        <f t="shared" si="61"/>
        <v>8.4415771623141955E-3</v>
      </c>
    </row>
    <row r="87" spans="1:22">
      <c r="A87" s="45"/>
      <c r="B87" s="45"/>
      <c r="C87" s="49"/>
      <c r="F87" s="7">
        <f t="shared" ref="F87:G87" si="62">H$50*F66+(1-H$50)*Q66</f>
        <v>0.39870428244267053</v>
      </c>
      <c r="G87" s="7">
        <f t="shared" si="62"/>
        <v>7.334129123772317E-3</v>
      </c>
      <c r="S87" s="7" t="s">
        <v>29</v>
      </c>
      <c r="T87" s="13">
        <f>SUM(T54:T73)</f>
        <v>13.182911666299615</v>
      </c>
      <c r="U87" s="7" t="s">
        <v>48</v>
      </c>
    </row>
    <row r="88" spans="1:22">
      <c r="A88" s="45"/>
      <c r="B88" s="45"/>
      <c r="C88" s="49"/>
      <c r="F88" s="7">
        <f t="shared" ref="F88:G88" si="63">H$50*F67+(1-H$50)*Q67</f>
        <v>0.41691840285494042</v>
      </c>
      <c r="G88" s="7">
        <f t="shared" si="63"/>
        <v>6.4135118153320477E-3</v>
      </c>
      <c r="S88" s="7" t="s">
        <v>28</v>
      </c>
      <c r="T88" s="13">
        <f>1/2*PI()*B6^2*1.25*B10^3 * 0.593/1000000</f>
        <v>16.212448070244051</v>
      </c>
      <c r="U88" s="7" t="s">
        <v>48</v>
      </c>
    </row>
    <row r="89" spans="1:22">
      <c r="A89" s="45"/>
      <c r="B89" s="45"/>
      <c r="C89" s="49"/>
      <c r="F89" s="7">
        <f t="shared" ref="F89:G89" si="64">H$50*F68+(1-H$50)*Q68</f>
        <v>0.43083222174128566</v>
      </c>
      <c r="G89" s="7">
        <f t="shared" si="64"/>
        <v>5.6363016278187577E-3</v>
      </c>
    </row>
    <row r="90" spans="1:22">
      <c r="A90" s="45"/>
      <c r="B90" s="45"/>
      <c r="C90" s="49"/>
      <c r="F90" s="7">
        <f t="shared" ref="F90:G90" si="65">H$50*F69+(1-H$50)*Q69</f>
        <v>0.44097208699837509</v>
      </c>
      <c r="G90" s="7">
        <f t="shared" si="65"/>
        <v>4.980492634378721E-3</v>
      </c>
      <c r="S90" s="7" t="s">
        <v>11</v>
      </c>
      <c r="T90" s="44" t="s">
        <v>61</v>
      </c>
      <c r="U90" s="7" t="s">
        <v>52</v>
      </c>
      <c r="V90" s="18" t="s">
        <v>6</v>
      </c>
    </row>
    <row r="91" spans="1:22">
      <c r="A91" s="45"/>
      <c r="B91" s="45"/>
      <c r="C91" s="49"/>
      <c r="F91" s="7">
        <f t="shared" ref="F91:G91" si="66">H$50*F70+(1-H$50)*Q70</f>
        <v>0.44798902743064289</v>
      </c>
      <c r="G91" s="7">
        <f t="shared" si="66"/>
        <v>4.4259801883997892E-3</v>
      </c>
      <c r="S91" s="7">
        <v>4.5</v>
      </c>
      <c r="T91" s="51">
        <f>6.5*2*PI()/60*$B$6/S91</f>
        <v>17.848900483728681</v>
      </c>
      <c r="U91" s="52">
        <f>IF(S91&lt;10.5,MAX( -0.00001888*T91^5 + 0.0009466*T91^4 - 0.01735*T91^3 + 0.1326*T91^2 - 0.3272*T91 + 0.2481,0),15000000/(1/2*118^2*PI()*1.25*S91^3))</f>
        <v>0</v>
      </c>
      <c r="V91" s="7">
        <f>MIN(U91*1/2*PI()*118^2*1.25*S91^3/1000000,15)</f>
        <v>0</v>
      </c>
    </row>
    <row r="92" spans="1:22">
      <c r="A92" s="45"/>
      <c r="B92" s="45"/>
      <c r="C92" s="49"/>
      <c r="F92" s="7">
        <f t="shared" ref="F92:G92" si="67">H$50*F71+(1-H$50)*Q71</f>
        <v>0.45436169881492083</v>
      </c>
      <c r="G92" s="7">
        <f t="shared" si="67"/>
        <v>3.9579017680945079E-3</v>
      </c>
      <c r="S92" s="7">
        <f>S91+0.1</f>
        <v>4.5999999999999996</v>
      </c>
      <c r="T92" s="51">
        <f t="shared" ref="T92:T155" si="68">6.5*2*PI()/60*$B$6/S92</f>
        <v>17.460880907995449</v>
      </c>
      <c r="U92" s="52">
        <f t="shared" ref="U92" si="69">IF(S92&lt;10.5,MAX( -0.00001888*T92^5 + 0.0009466*T92^4 - 0.01735*T92^3 + 0.1326*T92^2 - 0.3272*T92 + 0.2481,0),15000000/(1/2*118^2*PI()*1.25*S92^3))</f>
        <v>0</v>
      </c>
      <c r="V92" s="7">
        <f t="shared" ref="V92" si="70">MIN(U92*1/2*PI()*118^2*1.25*S92^3/1000000,15)</f>
        <v>0</v>
      </c>
    </row>
    <row r="93" spans="1:22">
      <c r="A93" s="45"/>
      <c r="B93" s="45"/>
      <c r="C93" s="49"/>
      <c r="F93" s="7">
        <f t="shared" ref="F93:G94" si="71">H$50*F72+(1-H$50)*Q72</f>
        <v>0.46895613935437958</v>
      </c>
      <c r="G93" s="7">
        <f t="shared" si="71"/>
        <v>3.568259446050318E-3</v>
      </c>
      <c r="S93" s="7">
        <f t="shared" ref="S93:S156" si="72">S92+0.1</f>
        <v>4.6999999999999993</v>
      </c>
      <c r="T93" s="51">
        <f t="shared" si="68"/>
        <v>17.089372803570015</v>
      </c>
      <c r="U93" s="52">
        <f t="shared" ref="U93:U156" si="73">IF(S93&lt;10.5,MAX( -0.00001888*T93^5 + 0.0009466*T93^4 - 0.01735*T93^3 + 0.1326*T93^2 - 0.3272*T93 + 0.2481,0),15000000/(1/2*118^2*PI()*1.25*S93^3))</f>
        <v>7.5314244889970183E-3</v>
      </c>
      <c r="V93" s="7">
        <f t="shared" ref="V93:V156" si="74">MIN(U93*1/2*PI()*118^2*1.25*S93^3/1000000,15)</f>
        <v>2.137787850816748E-2</v>
      </c>
    </row>
    <row r="94" spans="1:22">
      <c r="A94" s="45"/>
      <c r="B94" s="45"/>
      <c r="C94" s="49"/>
      <c r="F94" s="7">
        <f t="shared" si="71"/>
        <v>0.52219725728439981</v>
      </c>
      <c r="G94" s="7">
        <f>I$50*G73+(1-I$50)*R73</f>
        <v>3.1786698217322086E-3</v>
      </c>
      <c r="S94" s="7">
        <f t="shared" si="72"/>
        <v>4.7999999999999989</v>
      </c>
      <c r="T94" s="51">
        <f t="shared" si="68"/>
        <v>16.733344203495641</v>
      </c>
      <c r="U94" s="52">
        <f t="shared" si="73"/>
        <v>5.6181216509497922E-2</v>
      </c>
      <c r="V94" s="7">
        <f t="shared" si="74"/>
        <v>0.16986689784627232</v>
      </c>
    </row>
    <row r="95" spans="1:22">
      <c r="B95" s="45"/>
      <c r="S95" s="7">
        <f t="shared" si="72"/>
        <v>4.8999999999999986</v>
      </c>
      <c r="T95" s="51">
        <f t="shared" si="68"/>
        <v>16.391847383016138</v>
      </c>
      <c r="U95" s="52">
        <f t="shared" si="73"/>
        <v>9.5023023958830777E-2</v>
      </c>
      <c r="V95" s="7">
        <f t="shared" si="74"/>
        <v>0.30564056355152902</v>
      </c>
    </row>
    <row r="96" spans="1:22">
      <c r="S96" s="7">
        <f t="shared" si="72"/>
        <v>4.9999999999999982</v>
      </c>
      <c r="T96" s="51">
        <f t="shared" si="68"/>
        <v>16.064010435355819</v>
      </c>
      <c r="U96" s="52">
        <f t="shared" si="73"/>
        <v>0.12655692476519143</v>
      </c>
      <c r="V96" s="7">
        <f t="shared" si="74"/>
        <v>0.43250370377011954</v>
      </c>
    </row>
    <row r="97" spans="19:22">
      <c r="S97" s="7">
        <f t="shared" si="72"/>
        <v>5.0999999999999979</v>
      </c>
      <c r="T97" s="51">
        <f t="shared" si="68"/>
        <v>15.749029838584136</v>
      </c>
      <c r="U97" s="52">
        <f t="shared" si="73"/>
        <v>0.15266965565653301</v>
      </c>
      <c r="V97" s="7">
        <f t="shared" si="74"/>
        <v>0.55367786170227395</v>
      </c>
    </row>
    <row r="98" spans="19:22">
      <c r="S98" s="7">
        <f t="shared" si="72"/>
        <v>5.1999999999999975</v>
      </c>
      <c r="T98" s="51">
        <f t="shared" si="68"/>
        <v>15.446163880149825</v>
      </c>
      <c r="U98" s="52">
        <f t="shared" si="73"/>
        <v>0.17477959009252508</v>
      </c>
      <c r="V98" s="7">
        <f t="shared" si="74"/>
        <v>0.67188454602529013</v>
      </c>
    </row>
    <row r="99" spans="19:22">
      <c r="S99" s="7">
        <f t="shared" si="72"/>
        <v>5.2999999999999972</v>
      </c>
      <c r="T99" s="51">
        <f t="shared" si="68"/>
        <v>15.154726825807378</v>
      </c>
      <c r="U99" s="52">
        <f t="shared" si="73"/>
        <v>0.19394761024354068</v>
      </c>
      <c r="V99" s="7">
        <f t="shared" si="74"/>
        <v>0.78941603944345629</v>
      </c>
    </row>
    <row r="100" spans="19:22">
      <c r="S100" s="7">
        <f t="shared" si="72"/>
        <v>5.3999999999999968</v>
      </c>
      <c r="T100" s="51">
        <f t="shared" si="68"/>
        <v>14.874083736440575</v>
      </c>
      <c r="U100" s="52">
        <f t="shared" si="73"/>
        <v>0.21096202565880251</v>
      </c>
      <c r="V100" s="7">
        <f t="shared" si="74"/>
        <v>0.9081957620902803</v>
      </c>
    </row>
    <row r="101" spans="19:22">
      <c r="S101" s="7">
        <f t="shared" si="72"/>
        <v>5.4999999999999964</v>
      </c>
      <c r="T101" s="51">
        <f t="shared" si="68"/>
        <v>14.603645850323474</v>
      </c>
      <c r="U101" s="52">
        <f t="shared" si="73"/>
        <v>0.2264036890573804</v>
      </c>
      <c r="V101" s="7">
        <f t="shared" si="74"/>
        <v>1.0298298412489835</v>
      </c>
    </row>
    <row r="102" spans="19:22">
      <c r="S102" s="7">
        <f t="shared" si="72"/>
        <v>5.5999999999999961</v>
      </c>
      <c r="T102" s="51">
        <f t="shared" si="68"/>
        <v>14.342866460139128</v>
      </c>
      <c r="U102" s="52">
        <f t="shared" si="73"/>
        <v>0.24069596541640781</v>
      </c>
      <c r="V102" s="7">
        <f t="shared" si="74"/>
        <v>1.1556512577450964</v>
      </c>
    </row>
    <row r="103" spans="19:22">
      <c r="S103" s="7">
        <f t="shared" si="72"/>
        <v>5.6999999999999957</v>
      </c>
      <c r="T103" s="51">
        <f t="shared" si="68"/>
        <v>14.091237223996336</v>
      </c>
      <c r="U103" s="52">
        <f t="shared" si="73"/>
        <v>0.2541430907961022</v>
      </c>
      <c r="V103" s="7">
        <f t="shared" si="74"/>
        <v>1.2867577096462588</v>
      </c>
    </row>
    <row r="104" spans="19:22">
      <c r="S104" s="7">
        <f t="shared" si="72"/>
        <v>5.7999999999999954</v>
      </c>
      <c r="T104" s="51">
        <f t="shared" si="68"/>
        <v>13.848284858065366</v>
      </c>
      <c r="U104" s="52">
        <f t="shared" si="73"/>
        <v>0.26695961501669441</v>
      </c>
      <c r="V104" s="7">
        <f t="shared" si="74"/>
        <v>1.4240441455342669</v>
      </c>
    </row>
    <row r="105" spans="19:22">
      <c r="S105" s="7">
        <f t="shared" si="72"/>
        <v>5.899999999999995</v>
      </c>
      <c r="T105" s="51">
        <f t="shared" si="68"/>
        <v>13.613568165555783</v>
      </c>
      <c r="U105" s="52">
        <f t="shared" si="73"/>
        <v>0.27929298634751554</v>
      </c>
      <c r="V105" s="7">
        <f t="shared" si="74"/>
        <v>1.5682307646331088</v>
      </c>
    </row>
    <row r="106" spans="19:22">
      <c r="S106" s="7">
        <f t="shared" si="72"/>
        <v>5.9999999999999947</v>
      </c>
      <c r="T106" s="51">
        <f t="shared" si="68"/>
        <v>13.386675362796522</v>
      </c>
      <c r="U106" s="52">
        <f t="shared" si="73"/>
        <v>0.29124085457060023</v>
      </c>
      <c r="V106" s="7">
        <f t="shared" si="74"/>
        <v>1.7198871531575346</v>
      </c>
    </row>
    <row r="107" spans="19:22">
      <c r="S107" s="7">
        <f t="shared" si="72"/>
        <v>6.0999999999999943</v>
      </c>
      <c r="T107" s="51">
        <f t="shared" si="68"/>
        <v>13.167221668324448</v>
      </c>
      <c r="U107" s="52">
        <f t="shared" si="73"/>
        <v>0.30286430259027242</v>
      </c>
      <c r="V107" s="7">
        <f t="shared" si="74"/>
        <v>1.8794531203361642</v>
      </c>
    </row>
    <row r="108" spans="19:22">
      <c r="S108" s="7">
        <f t="shared" si="72"/>
        <v>6.199999999999994</v>
      </c>
      <c r="T108" s="51">
        <f t="shared" si="68"/>
        <v>12.954847125286957</v>
      </c>
      <c r="U108" s="52">
        <f t="shared" si="73"/>
        <v>0.31419793759200676</v>
      </c>
      <c r="V108" s="7">
        <f t="shared" si="74"/>
        <v>2.0472567096192202</v>
      </c>
    </row>
    <row r="109" spans="19:22">
      <c r="S109" s="7">
        <f t="shared" si="72"/>
        <v>6.2999999999999936</v>
      </c>
      <c r="T109" s="51">
        <f t="shared" si="68"/>
        <v>12.749214631234784</v>
      </c>
      <c r="U109" s="52">
        <f t="shared" si="73"/>
        <v>0.32525755932180811</v>
      </c>
      <c r="V109" s="7">
        <f t="shared" si="74"/>
        <v>2.2235297873362705</v>
      </c>
    </row>
    <row r="110" spans="19:22">
      <c r="S110" s="7">
        <f t="shared" si="72"/>
        <v>6.3999999999999932</v>
      </c>
      <c r="T110" s="51">
        <f t="shared" si="68"/>
        <v>12.550008152621741</v>
      </c>
      <c r="U110" s="52">
        <f t="shared" si="73"/>
        <v>0.33604595945318305</v>
      </c>
      <c r="V110" s="7">
        <f t="shared" si="74"/>
        <v>2.4084215499135571</v>
      </c>
    </row>
    <row r="111" spans="19:22">
      <c r="S111" s="7">
        <f t="shared" si="72"/>
        <v>6.4999999999999929</v>
      </c>
      <c r="T111" s="51">
        <f t="shared" si="68"/>
        <v>12.356931104119868</v>
      </c>
      <c r="U111" s="52">
        <f t="shared" si="73"/>
        <v>0.34655728028983468</v>
      </c>
      <c r="V111" s="7">
        <f t="shared" si="74"/>
        <v>2.6020102395468956</v>
      </c>
    </row>
    <row r="112" spans="19:22">
      <c r="S112" s="7">
        <f t="shared" si="72"/>
        <v>6.5999999999999925</v>
      </c>
      <c r="T112" s="51">
        <f t="shared" si="68"/>
        <v>12.169704875269568</v>
      </c>
      <c r="U112" s="52">
        <f t="shared" si="73"/>
        <v>0.3567802642296245</v>
      </c>
      <c r="V112" s="7">
        <f t="shared" si="74"/>
        <v>2.8043133152416622</v>
      </c>
    </row>
    <row r="113" spans="19:22">
      <c r="S113" s="7">
        <f t="shared" si="72"/>
        <v>6.6999999999999922</v>
      </c>
      <c r="T113" s="51">
        <f t="shared" si="68"/>
        <v>11.988067489071515</v>
      </c>
      <c r="U113" s="52">
        <f t="shared" si="73"/>
        <v>0.36670065069249702</v>
      </c>
      <c r="V113" s="7">
        <f t="shared" si="74"/>
        <v>3.015296289955955</v>
      </c>
    </row>
    <row r="114" spans="19:22">
      <c r="S114" s="7">
        <f t="shared" si="72"/>
        <v>6.7999999999999918</v>
      </c>
      <c r="T114" s="51">
        <f t="shared" si="68"/>
        <v>11.811772378938111</v>
      </c>
      <c r="U114" s="52">
        <f t="shared" si="73"/>
        <v>0.37630291944113958</v>
      </c>
      <c r="V114" s="7">
        <f t="shared" si="74"/>
        <v>3.2348804140695226</v>
      </c>
    </row>
    <row r="115" spans="19:22">
      <c r="S115" s="7">
        <f t="shared" si="72"/>
        <v>6.8999999999999915</v>
      </c>
      <c r="T115" s="51">
        <f t="shared" si="68"/>
        <v>11.64058727199698</v>
      </c>
      <c r="U115" s="52">
        <f t="shared" si="73"/>
        <v>0.38557153447961801</v>
      </c>
      <c r="V115" s="7">
        <f t="shared" si="74"/>
        <v>3.4629493596022436</v>
      </c>
    </row>
    <row r="116" spans="19:22">
      <c r="S116" s="7">
        <f t="shared" si="72"/>
        <v>6.9999999999999911</v>
      </c>
      <c r="T116" s="51">
        <f t="shared" si="68"/>
        <v>11.474293168111309</v>
      </c>
      <c r="U116" s="52">
        <f t="shared" si="73"/>
        <v>0.39449180801355777</v>
      </c>
      <c r="V116" s="7">
        <f t="shared" si="74"/>
        <v>3.6993550377468263</v>
      </c>
    </row>
    <row r="117" spans="19:22">
      <c r="S117" s="7">
        <f t="shared" si="72"/>
        <v>7.0999999999999908</v>
      </c>
      <c r="T117" s="51">
        <f t="shared" si="68"/>
        <v>11.312683405180163</v>
      </c>
      <c r="U117" s="52">
        <f t="shared" si="73"/>
        <v>0.40305047700882168</v>
      </c>
      <c r="V117" s="7">
        <f t="shared" si="74"/>
        <v>3.9439226637172644</v>
      </c>
    </row>
    <row r="118" spans="19:22">
      <c r="S118" s="7">
        <f t="shared" si="72"/>
        <v>7.1999999999999904</v>
      </c>
      <c r="T118" s="51">
        <f t="shared" si="68"/>
        <v>11.15556280233044</v>
      </c>
      <c r="U118" s="52">
        <f t="shared" si="73"/>
        <v>0.41123606394054768</v>
      </c>
      <c r="V118" s="7">
        <f t="shared" si="74"/>
        <v>4.1964551671189341</v>
      </c>
    </row>
    <row r="119" spans="19:22">
      <c r="S119" s="7">
        <f t="shared" si="72"/>
        <v>7.2999999999999901</v>
      </c>
      <c r="T119" s="51">
        <f t="shared" si="68"/>
        <v>11.002746873531393</v>
      </c>
      <c r="U119" s="52">
        <f t="shared" si="73"/>
        <v>0.41903907703226029</v>
      </c>
      <c r="V119" s="7">
        <f t="shared" si="74"/>
        <v>4.4567370325791069</v>
      </c>
    </row>
    <row r="120" spans="19:22">
      <c r="S120" s="7">
        <f t="shared" si="72"/>
        <v>7.3999999999999897</v>
      </c>
      <c r="T120" s="51">
        <f t="shared" si="68"/>
        <v>10.854061104970159</v>
      </c>
      <c r="U120" s="52">
        <f t="shared" si="73"/>
        <v>0.42645209260583439</v>
      </c>
      <c r="V120" s="7">
        <f t="shared" si="74"/>
        <v>4.7245376438711384</v>
      </c>
    </row>
    <row r="121" spans="19:22">
      <c r="S121" s="7">
        <f t="shared" si="72"/>
        <v>7.4999999999999893</v>
      </c>
      <c r="T121" s="51">
        <f t="shared" si="68"/>
        <v>10.709340290237224</v>
      </c>
      <c r="U121" s="52">
        <f t="shared" si="73"/>
        <v>0.43346975229445839</v>
      </c>
      <c r="V121" s="7">
        <f t="shared" si="74"/>
        <v>4.9996141949192818</v>
      </c>
    </row>
    <row r="122" spans="19:22">
      <c r="S122" s="7">
        <f t="shared" si="72"/>
        <v>7.599999999999989</v>
      </c>
      <c r="T122" s="51">
        <f t="shared" si="68"/>
        <v>10.56842791799726</v>
      </c>
      <c r="U122" s="52">
        <f t="shared" si="73"/>
        <v>0.44008870019043522</v>
      </c>
      <c r="V122" s="7">
        <f t="shared" si="74"/>
        <v>5.281714222627472</v>
      </c>
    </row>
    <row r="123" spans="19:22">
      <c r="S123" s="7">
        <f t="shared" si="72"/>
        <v>7.6999999999999886</v>
      </c>
      <c r="T123" s="51">
        <f t="shared" si="68"/>
        <v>10.43117560737392</v>
      </c>
      <c r="U123" s="52">
        <f t="shared" si="73"/>
        <v>0.44630747902552415</v>
      </c>
      <c r="V123" s="7">
        <f t="shared" si="74"/>
        <v>5.5705778092233844</v>
      </c>
    </row>
    <row r="124" spans="19:22">
      <c r="S124" s="7">
        <f t="shared" si="72"/>
        <v>7.7999999999999883</v>
      </c>
      <c r="T124" s="51">
        <f t="shared" si="68"/>
        <v>10.297442586766561</v>
      </c>
      <c r="U124" s="52">
        <f t="shared" si="73"/>
        <v>0.45212639983886094</v>
      </c>
      <c r="V124" s="7">
        <f t="shared" si="74"/>
        <v>5.8659394955713315</v>
      </c>
    </row>
    <row r="125" spans="19:22">
      <c r="S125" s="7">
        <f t="shared" si="72"/>
        <v>7.8999999999999879</v>
      </c>
      <c r="T125" s="51">
        <f t="shared" si="68"/>
        <v>10.16709521225053</v>
      </c>
      <c r="U125" s="52">
        <f t="shared" si="73"/>
        <v>0.45754739598404059</v>
      </c>
      <c r="V125" s="7">
        <f t="shared" si="74"/>
        <v>6.1675299415283762</v>
      </c>
    </row>
    <row r="126" spans="19:22">
      <c r="S126" s="7">
        <f t="shared" si="72"/>
        <v>7.9999999999999876</v>
      </c>
      <c r="T126" s="51">
        <f t="shared" si="68"/>
        <v>10.040006522097398</v>
      </c>
      <c r="U126" s="52">
        <f t="shared" si="73"/>
        <v>0.46257386953598401</v>
      </c>
      <c r="V126" s="7">
        <f t="shared" si="74"/>
        <v>6.4750773647791293</v>
      </c>
    </row>
    <row r="127" spans="19:22">
      <c r="S127" s="7">
        <f t="shared" si="72"/>
        <v>8.0999999999999872</v>
      </c>
      <c r="T127" s="51">
        <f t="shared" si="68"/>
        <v>9.9160558242937267</v>
      </c>
      <c r="U127" s="52">
        <f t="shared" si="73"/>
        <v>0.46721053600144602</v>
      </c>
      <c r="V127" s="7">
        <f t="shared" si="74"/>
        <v>6.7883087855709148</v>
      </c>
    </row>
    <row r="128" spans="19:22">
      <c r="S128" s="7">
        <f t="shared" si="72"/>
        <v>8.1999999999999869</v>
      </c>
      <c r="T128" s="51">
        <f t="shared" si="68"/>
        <v>9.7951283142413637</v>
      </c>
      <c r="U128" s="52">
        <f t="shared" si="73"/>
        <v>0.47146327157633339</v>
      </c>
      <c r="V128" s="7">
        <f t="shared" si="74"/>
        <v>7.10695110129992</v>
      </c>
    </row>
    <row r="129" spans="19:22">
      <c r="S129" s="7">
        <f t="shared" si="72"/>
        <v>8.2999999999999865</v>
      </c>
      <c r="T129" s="51">
        <f t="shared" si="68"/>
        <v>9.6771147200938774</v>
      </c>
      <c r="U129" s="52">
        <f t="shared" si="73"/>
        <v>0.47533896591915825</v>
      </c>
      <c r="V129" s="7">
        <f t="shared" si="74"/>
        <v>7.4307320118857652</v>
      </c>
    </row>
    <row r="130" spans="19:22">
      <c r="S130" s="7">
        <f t="shared" si="72"/>
        <v>8.3999999999999861</v>
      </c>
      <c r="T130" s="51">
        <f t="shared" si="68"/>
        <v>9.5619109734260945</v>
      </c>
      <c r="U130" s="52">
        <f t="shared" si="73"/>
        <v>0.47884538243846198</v>
      </c>
      <c r="V130" s="7">
        <f t="shared" si="74"/>
        <v>7.7593808142584084</v>
      </c>
    </row>
    <row r="131" spans="19:22">
      <c r="S131" s="7">
        <f t="shared" si="72"/>
        <v>8.4999999999999858</v>
      </c>
      <c r="T131" s="51">
        <f t="shared" si="68"/>
        <v>9.4494179031504935</v>
      </c>
      <c r="U131" s="52">
        <f t="shared" si="73"/>
        <v>0.48199102735615229</v>
      </c>
      <c r="V131" s="7">
        <f t="shared" si="74"/>
        <v>8.0926290820108839</v>
      </c>
    </row>
    <row r="132" spans="19:22">
      <c r="S132" s="7">
        <f t="shared" si="72"/>
        <v>8.5999999999999854</v>
      </c>
      <c r="T132" s="51">
        <f t="shared" si="68"/>
        <v>9.3395409507882778</v>
      </c>
      <c r="U132" s="52">
        <f t="shared" si="73"/>
        <v>0.4847850282556756</v>
      </c>
      <c r="V132" s="7">
        <f t="shared" si="74"/>
        <v>8.430211244288822</v>
      </c>
    </row>
    <row r="133" spans="19:22">
      <c r="S133" s="7">
        <f t="shared" si="72"/>
        <v>8.6999999999999851</v>
      </c>
      <c r="T133" s="51">
        <f t="shared" si="68"/>
        <v>9.2321899053769183</v>
      </c>
      <c r="U133" s="52">
        <f t="shared" si="73"/>
        <v>0.48723702241392797</v>
      </c>
      <c r="V133" s="7">
        <f t="shared" si="74"/>
        <v>8.7718650762696786</v>
      </c>
    </row>
    <row r="134" spans="19:22">
      <c r="S134" s="7">
        <f t="shared" si="72"/>
        <v>8.7999999999999847</v>
      </c>
      <c r="T134" s="51">
        <f t="shared" si="68"/>
        <v>9.1272786564521819</v>
      </c>
      <c r="U134" s="52">
        <f t="shared" si="73"/>
        <v>0.48935705491532877</v>
      </c>
      <c r="V134" s="7">
        <f t="shared" si="74"/>
        <v>9.1173321120751325</v>
      </c>
    </row>
    <row r="135" spans="19:22">
      <c r="S135" s="7">
        <f t="shared" si="72"/>
        <v>8.8999999999999844</v>
      </c>
      <c r="T135" s="51">
        <f t="shared" si="68"/>
        <v>9.024724963683056</v>
      </c>
      <c r="U135" s="52">
        <f t="shared" si="73"/>
        <v>0.49115548633167405</v>
      </c>
      <c r="V135" s="7">
        <f t="shared" si="74"/>
        <v>9.4663579896507635</v>
      </c>
    </row>
    <row r="136" spans="19:22">
      <c r="S136" s="7">
        <f t="shared" si="72"/>
        <v>8.999999999999984</v>
      </c>
      <c r="T136" s="51">
        <f t="shared" si="68"/>
        <v>8.9244502418643563</v>
      </c>
      <c r="U136" s="52">
        <f t="shared" si="73"/>
        <v>0.49264290960145019</v>
      </c>
      <c r="V136" s="7">
        <f t="shared" si="74"/>
        <v>9.818692735994464</v>
      </c>
    </row>
    <row r="137" spans="19:22">
      <c r="S137" s="7">
        <f t="shared" si="72"/>
        <v>9.0999999999999837</v>
      </c>
      <c r="T137" s="51">
        <f t="shared" si="68"/>
        <v>8.8263793600856264</v>
      </c>
      <c r="U137" s="52">
        <f t="shared" si="73"/>
        <v>0.49383007564268055</v>
      </c>
      <c r="V137" s="7">
        <f t="shared" si="74"/>
        <v>10.174091000112528</v>
      </c>
    </row>
    <row r="138" spans="19:22">
      <c r="S138" s="7">
        <f t="shared" si="72"/>
        <v>9.1999999999999833</v>
      </c>
      <c r="T138" s="51">
        <f t="shared" si="68"/>
        <v>8.7304404539977387</v>
      </c>
      <c r="U138" s="52">
        <f t="shared" si="73"/>
        <v>0.49472782717128228</v>
      </c>
      <c r="V138" s="7">
        <f t="shared" si="74"/>
        <v>10.532312240197935</v>
      </c>
    </row>
    <row r="139" spans="19:22">
      <c r="S139" s="7">
        <f t="shared" si="72"/>
        <v>9.2999999999999829</v>
      </c>
      <c r="T139" s="51">
        <f t="shared" si="68"/>
        <v>8.6365647501913116</v>
      </c>
      <c r="U139" s="52">
        <f t="shared" si="73"/>
        <v>0.49534704016360553</v>
      </c>
      <c r="V139" s="7">
        <f t="shared" si="74"/>
        <v>10.893120870755238</v>
      </c>
    </row>
    <row r="140" spans="19:22">
      <c r="S140" s="7">
        <f t="shared" si="72"/>
        <v>9.3999999999999826</v>
      </c>
      <c r="T140" s="51">
        <f t="shared" si="68"/>
        <v>8.5446864017850217</v>
      </c>
      <c r="U140" s="52">
        <f t="shared" si="73"/>
        <v>0.49569857238933546</v>
      </c>
      <c r="V140" s="7">
        <f t="shared" si="74"/>
        <v>11.256286374714705</v>
      </c>
    </row>
    <row r="141" spans="19:22">
      <c r="S141" s="7">
        <f t="shared" si="72"/>
        <v>9.4999999999999822</v>
      </c>
      <c r="T141" s="51">
        <f t="shared" si="68"/>
        <v>8.4547423343978121</v>
      </c>
      <c r="U141" s="52">
        <f t="shared" si="73"/>
        <v>0.49579321844418001</v>
      </c>
      <c r="V141" s="7">
        <f t="shared" si="74"/>
        <v>11.621583384984264</v>
      </c>
    </row>
    <row r="142" spans="19:22">
      <c r="S142" s="7">
        <f t="shared" si="72"/>
        <v>9.5999999999999819</v>
      </c>
      <c r="T142" s="51">
        <f t="shared" si="68"/>
        <v>8.3666721017478345</v>
      </c>
      <c r="U142" s="52">
        <f t="shared" si="73"/>
        <v>0.49564167072585752</v>
      </c>
      <c r="V142" s="7">
        <f t="shared" si="74"/>
        <v>11.988791739361639</v>
      </c>
    </row>
    <row r="143" spans="19:22">
      <c r="S143" s="7">
        <f t="shared" si="72"/>
        <v>9.6999999999999815</v>
      </c>
      <c r="T143" s="51">
        <f t="shared" si="68"/>
        <v>8.2804177501834246</v>
      </c>
      <c r="U143" s="52">
        <f t="shared" si="73"/>
        <v>0.49525448581878928</v>
      </c>
      <c r="V143" s="7">
        <f t="shared" si="74"/>
        <v>12.357696512267944</v>
      </c>
    </row>
    <row r="144" spans="19:22">
      <c r="S144" s="7">
        <f t="shared" si="72"/>
        <v>9.7999999999999812</v>
      </c>
      <c r="T144" s="51">
        <f t="shared" si="68"/>
        <v>8.1959236915080833</v>
      </c>
      <c r="U144" s="52">
        <f t="shared" si="73"/>
        <v>0.49464205577981168</v>
      </c>
      <c r="V144" s="7">
        <f t="shared" si="74"/>
        <v>12.728088026356934</v>
      </c>
    </row>
    <row r="145" spans="19:22">
      <c r="S145" s="7">
        <f t="shared" si="72"/>
        <v>9.8999999999999808</v>
      </c>
      <c r="T145" s="51">
        <f t="shared" si="68"/>
        <v>8.113136583513052</v>
      </c>
      <c r="U145" s="52">
        <f t="shared" si="73"/>
        <v>0.49381458384726074</v>
      </c>
      <c r="V145" s="7">
        <f t="shared" si="74"/>
        <v>13.099761846694852</v>
      </c>
    </row>
    <row r="146" spans="19:22">
      <c r="S146" s="7">
        <f t="shared" si="72"/>
        <v>9.9999999999999805</v>
      </c>
      <c r="T146" s="51">
        <f t="shared" si="68"/>
        <v>8.0320052176779217</v>
      </c>
      <c r="U146" s="52">
        <f t="shared" si="73"/>
        <v>0.49278206412754644</v>
      </c>
      <c r="V146" s="7">
        <f t="shared" si="74"/>
        <v>13.472518759891184</v>
      </c>
    </row>
    <row r="147" spans="19:22">
      <c r="S147" s="7">
        <f t="shared" si="72"/>
        <v>10.09999999999998</v>
      </c>
      <c r="T147" s="51">
        <f t="shared" si="68"/>
        <v>7.9524804135424967</v>
      </c>
      <c r="U147" s="52">
        <f t="shared" si="73"/>
        <v>0.49155426484547826</v>
      </c>
      <c r="V147" s="7">
        <f t="shared" si="74"/>
        <v>13.846164740278976</v>
      </c>
    </row>
    <row r="148" spans="19:22">
      <c r="S148" s="7">
        <f t="shared" si="72"/>
        <v>10.19999999999998</v>
      </c>
      <c r="T148" s="51">
        <f t="shared" si="68"/>
        <v>7.8745149192920803</v>
      </c>
      <c r="U148" s="52">
        <f t="shared" si="73"/>
        <v>0.49014071477663634</v>
      </c>
      <c r="V148" s="7">
        <f t="shared" si="74"/>
        <v>14.220510904997933</v>
      </c>
    </row>
    <row r="149" spans="19:22">
      <c r="S149" s="7">
        <f t="shared" si="72"/>
        <v>10.299999999999979</v>
      </c>
      <c r="T149" s="51">
        <f t="shared" si="68"/>
        <v>7.798063318133905</v>
      </c>
      <c r="U149" s="52">
        <f t="shared" si="73"/>
        <v>0.48855069251123151</v>
      </c>
      <c r="V149" s="7">
        <f t="shared" si="74"/>
        <v>14.59537345961566</v>
      </c>
    </row>
    <row r="150" spans="19:22">
      <c r="S150" s="7">
        <f t="shared" si="72"/>
        <v>10.399999999999979</v>
      </c>
      <c r="T150" s="51">
        <f t="shared" si="68"/>
        <v>7.7230819400749251</v>
      </c>
      <c r="U150" s="52">
        <f t="shared" si="73"/>
        <v>0.48679321822877153</v>
      </c>
      <c r="V150" s="7">
        <f t="shared" si="74"/>
        <v>14.970573635728631</v>
      </c>
    </row>
    <row r="151" spans="19:22">
      <c r="S151" s="7">
        <f t="shared" si="72"/>
        <v>10.499999999999979</v>
      </c>
      <c r="T151" s="51">
        <f t="shared" si="68"/>
        <v>7.6495287787408781</v>
      </c>
      <c r="U151" s="52">
        <f t="shared" si="73"/>
        <v>0.47394664924418534</v>
      </c>
      <c r="V151" s="7">
        <f t="shared" si="74"/>
        <v>14.999999999999998</v>
      </c>
    </row>
    <row r="152" spans="19:22">
      <c r="S152" s="7">
        <f t="shared" si="72"/>
        <v>10.599999999999978</v>
      </c>
      <c r="T152" s="51">
        <f t="shared" si="68"/>
        <v>7.5773634129036997</v>
      </c>
      <c r="U152" s="52">
        <f t="shared" si="73"/>
        <v>0.46065921014604339</v>
      </c>
      <c r="V152" s="7">
        <f t="shared" si="74"/>
        <v>14.999999999999996</v>
      </c>
    </row>
    <row r="153" spans="19:22">
      <c r="S153" s="7">
        <f t="shared" si="72"/>
        <v>10.699999999999978</v>
      </c>
      <c r="T153" s="51">
        <f t="shared" si="68"/>
        <v>7.5065469324092735</v>
      </c>
      <c r="U153" s="52">
        <f t="shared" si="73"/>
        <v>0.44786386260017008</v>
      </c>
      <c r="V153" s="7">
        <f t="shared" si="74"/>
        <v>15</v>
      </c>
    </row>
    <row r="154" spans="19:22">
      <c r="S154" s="7">
        <f t="shared" si="72"/>
        <v>10.799999999999978</v>
      </c>
      <c r="T154" s="51">
        <f t="shared" si="68"/>
        <v>7.4370418682202981</v>
      </c>
      <c r="U154" s="52">
        <f t="shared" si="73"/>
        <v>0.43553803554407688</v>
      </c>
      <c r="V154" s="7">
        <f t="shared" si="74"/>
        <v>15</v>
      </c>
    </row>
    <row r="155" spans="19:22">
      <c r="S155" s="7">
        <f t="shared" si="72"/>
        <v>10.899999999999977</v>
      </c>
      <c r="T155" s="51">
        <f t="shared" si="68"/>
        <v>7.3688121263100204</v>
      </c>
      <c r="U155" s="52">
        <f t="shared" si="73"/>
        <v>0.42366038894210106</v>
      </c>
      <c r="V155" s="7">
        <f t="shared" si="74"/>
        <v>15</v>
      </c>
    </row>
    <row r="156" spans="19:22">
      <c r="S156" s="7">
        <f t="shared" si="72"/>
        <v>10.999999999999977</v>
      </c>
      <c r="T156" s="51">
        <f t="shared" ref="T156:T219" si="75">6.5*2*PI()/60*$B$6/S156</f>
        <v>7.3018229251617477</v>
      </c>
      <c r="U156" s="52">
        <f t="shared" si="73"/>
        <v>0.41221073616175824</v>
      </c>
      <c r="V156" s="7">
        <f t="shared" si="74"/>
        <v>14.999999999999998</v>
      </c>
    </row>
    <row r="157" spans="19:22">
      <c r="S157" s="7">
        <f t="shared" ref="S157:S220" si="76">S156+0.1</f>
        <v>11.099999999999977</v>
      </c>
      <c r="T157" s="51">
        <f t="shared" si="75"/>
        <v>7.2360407366467774</v>
      </c>
      <c r="U157" s="52">
        <f t="shared" ref="U157:U220" si="77">IF(S157&lt;10.5,MAX( -0.00001888*T157^5 + 0.0009466*T157^4 - 0.01735*T157^3 + 0.1326*T157^2 - 0.3272*T157 + 0.2481,0),15000000/(1/2*118^2*PI()*1.25*S157^3))</f>
        <v>0.40116997189395392</v>
      </c>
      <c r="V157" s="7">
        <f t="shared" ref="V157:V220" si="78">MIN(U157*1/2*PI()*118^2*1.25*S157^3/1000000,15)</f>
        <v>14.999999999999998</v>
      </c>
    </row>
    <row r="158" spans="19:22">
      <c r="S158" s="7">
        <f t="shared" si="76"/>
        <v>11.199999999999976</v>
      </c>
      <c r="T158" s="51">
        <f t="shared" si="75"/>
        <v>7.1714332300695736</v>
      </c>
      <c r="U158" s="52">
        <f t="shared" si="77"/>
        <v>0.39052000517556784</v>
      </c>
      <c r="V158" s="7">
        <f t="shared" si="78"/>
        <v>14.999999999999998</v>
      </c>
    </row>
    <row r="159" spans="19:22">
      <c r="S159" s="7">
        <f t="shared" si="76"/>
        <v>11.299999999999976</v>
      </c>
      <c r="T159" s="51">
        <f t="shared" si="75"/>
        <v>7.1079692191840023</v>
      </c>
      <c r="U159" s="52">
        <f t="shared" si="77"/>
        <v>0.3802436971116443</v>
      </c>
      <c r="V159" s="7">
        <f t="shared" si="78"/>
        <v>14.999999999999998</v>
      </c>
    </row>
    <row r="160" spans="19:22">
      <c r="S160" s="7">
        <f t="shared" si="76"/>
        <v>11.399999999999975</v>
      </c>
      <c r="T160" s="51">
        <f t="shared" si="75"/>
        <v>7.0456186119981785</v>
      </c>
      <c r="U160" s="52">
        <f t="shared" si="77"/>
        <v>0.37032480292944414</v>
      </c>
      <c r="V160" s="7">
        <f t="shared" si="78"/>
        <v>15</v>
      </c>
    </row>
    <row r="161" spans="19:22">
      <c r="S161" s="7">
        <f t="shared" si="76"/>
        <v>11.499999999999975</v>
      </c>
      <c r="T161" s="51">
        <f t="shared" si="75"/>
        <v>6.9843523631981936</v>
      </c>
      <c r="U161" s="52">
        <f t="shared" si="77"/>
        <v>0.36074791802830625</v>
      </c>
      <c r="V161" s="7">
        <f t="shared" si="78"/>
        <v>14.999999999999996</v>
      </c>
    </row>
    <row r="162" spans="19:22">
      <c r="S162" s="7">
        <f t="shared" si="76"/>
        <v>11.599999999999975</v>
      </c>
      <c r="T162" s="51">
        <f t="shared" si="75"/>
        <v>6.9241424290326927</v>
      </c>
      <c r="U162" s="52">
        <f t="shared" si="77"/>
        <v>0.35149842771799045</v>
      </c>
      <c r="V162" s="7">
        <f t="shared" si="78"/>
        <v>15</v>
      </c>
    </row>
    <row r="163" spans="19:22">
      <c r="S163" s="7">
        <f t="shared" si="76"/>
        <v>11.699999999999974</v>
      </c>
      <c r="T163" s="51">
        <f t="shared" si="75"/>
        <v>6.8649617245110459</v>
      </c>
      <c r="U163" s="52">
        <f t="shared" si="77"/>
        <v>0.34256246036420807</v>
      </c>
      <c r="V163" s="7">
        <f t="shared" si="78"/>
        <v>15</v>
      </c>
    </row>
    <row r="164" spans="19:22">
      <c r="S164" s="7">
        <f t="shared" si="76"/>
        <v>11.799999999999974</v>
      </c>
      <c r="T164" s="51">
        <f t="shared" si="75"/>
        <v>6.8067840827779014</v>
      </c>
      <c r="U164" s="52">
        <f t="shared" si="77"/>
        <v>0.33392684368368991</v>
      </c>
      <c r="V164" s="7">
        <f t="shared" si="78"/>
        <v>15</v>
      </c>
    </row>
    <row r="165" spans="19:22">
      <c r="S165" s="7">
        <f t="shared" si="76"/>
        <v>11.899999999999974</v>
      </c>
      <c r="T165" s="51">
        <f t="shared" si="75"/>
        <v>6.7495842165360704</v>
      </c>
      <c r="U165" s="52">
        <f t="shared" si="77"/>
        <v>0.3255790639526005</v>
      </c>
      <c r="V165" s="7">
        <f t="shared" si="78"/>
        <v>15</v>
      </c>
    </row>
    <row r="166" spans="19:22">
      <c r="S166" s="7">
        <f t="shared" si="76"/>
        <v>11.999999999999973</v>
      </c>
      <c r="T166" s="51">
        <f t="shared" si="75"/>
        <v>6.6933376813982699</v>
      </c>
      <c r="U166" s="52">
        <f t="shared" si="77"/>
        <v>0.31750722791163211</v>
      </c>
      <c r="V166" s="7">
        <f t="shared" si="78"/>
        <v>14.999999999999995</v>
      </c>
    </row>
    <row r="167" spans="19:22">
      <c r="S167" s="7">
        <f t="shared" si="76"/>
        <v>12.099999999999973</v>
      </c>
      <c r="T167" s="51">
        <f t="shared" si="75"/>
        <v>6.638020841056135</v>
      </c>
      <c r="U167" s="52">
        <f t="shared" si="77"/>
        <v>0.30970002716886436</v>
      </c>
      <c r="V167" s="7">
        <f t="shared" si="78"/>
        <v>15</v>
      </c>
    </row>
    <row r="168" spans="19:22">
      <c r="S168" s="7">
        <f t="shared" si="76"/>
        <v>12.199999999999973</v>
      </c>
      <c r="T168" s="51">
        <f t="shared" si="75"/>
        <v>6.5836108341622328</v>
      </c>
      <c r="U168" s="52">
        <f t="shared" si="77"/>
        <v>0.30214670491764756</v>
      </c>
      <c r="V168" s="7">
        <f t="shared" si="78"/>
        <v>14.999999999999998</v>
      </c>
    </row>
    <row r="169" spans="19:22">
      <c r="S169" s="7">
        <f t="shared" si="76"/>
        <v>12.299999999999972</v>
      </c>
      <c r="T169" s="51">
        <f t="shared" si="75"/>
        <v>6.5300855428275808</v>
      </c>
      <c r="U169" s="52">
        <f t="shared" si="77"/>
        <v>0.29483702480150409</v>
      </c>
      <c r="V169" s="7">
        <f t="shared" si="78"/>
        <v>14.999999999999998</v>
      </c>
    </row>
    <row r="170" spans="19:22">
      <c r="S170" s="7">
        <f t="shared" si="76"/>
        <v>12.399999999999972</v>
      </c>
      <c r="T170" s="51">
        <f t="shared" si="75"/>
        <v>6.4774235626434873</v>
      </c>
      <c r="U170" s="52">
        <f t="shared" si="77"/>
        <v>0.28776124177147694</v>
      </c>
      <c r="V170" s="7">
        <f t="shared" si="78"/>
        <v>14.999999999999998</v>
      </c>
    </row>
    <row r="171" spans="19:22">
      <c r="S171" s="7">
        <f t="shared" si="76"/>
        <v>12.499999999999972</v>
      </c>
      <c r="T171" s="51">
        <f t="shared" si="75"/>
        <v>6.4256041741423395</v>
      </c>
      <c r="U171" s="52">
        <f t="shared" si="77"/>
        <v>0.28091007479362584</v>
      </c>
      <c r="V171" s="7">
        <f t="shared" si="78"/>
        <v>14.999999999999996</v>
      </c>
    </row>
    <row r="172" spans="19:22">
      <c r="S172" s="7">
        <f t="shared" si="76"/>
        <v>12.599999999999971</v>
      </c>
      <c r="T172" s="51">
        <f t="shared" si="75"/>
        <v>6.3746073156173999</v>
      </c>
      <c r="U172" s="52">
        <f t="shared" si="77"/>
        <v>0.27427468127557042</v>
      </c>
      <c r="V172" s="7">
        <f t="shared" si="78"/>
        <v>14.999999999999998</v>
      </c>
    </row>
    <row r="173" spans="19:22">
      <c r="S173" s="7">
        <f t="shared" si="76"/>
        <v>12.699999999999971</v>
      </c>
      <c r="T173" s="51">
        <f t="shared" si="75"/>
        <v>6.3244135572267117</v>
      </c>
      <c r="U173" s="52">
        <f t="shared" si="77"/>
        <v>0.26784663309122397</v>
      </c>
      <c r="V173" s="7">
        <f t="shared" si="78"/>
        <v>15</v>
      </c>
    </row>
    <row r="174" spans="19:22">
      <c r="S174" s="7">
        <f t="shared" si="76"/>
        <v>12.799999999999971</v>
      </c>
      <c r="T174" s="51">
        <f t="shared" si="75"/>
        <v>6.2750040763108785</v>
      </c>
      <c r="U174" s="52">
        <f t="shared" si="77"/>
        <v>0.2616178940922263</v>
      </c>
      <c r="V174" s="7">
        <f t="shared" si="78"/>
        <v>15</v>
      </c>
    </row>
    <row r="175" spans="19:22">
      <c r="S175" s="7">
        <f t="shared" si="76"/>
        <v>12.89999999999997</v>
      </c>
      <c r="T175" s="51">
        <f t="shared" si="75"/>
        <v>6.2263606338588557</v>
      </c>
      <c r="U175" s="52">
        <f t="shared" si="77"/>
        <v>0.25558079900316277</v>
      </c>
      <c r="V175" s="7">
        <f t="shared" si="78"/>
        <v>14.999999999999998</v>
      </c>
    </row>
    <row r="176" spans="19:22">
      <c r="S176" s="7">
        <f t="shared" si="76"/>
        <v>12.99999999999997</v>
      </c>
      <c r="T176" s="51">
        <f t="shared" si="75"/>
        <v>6.1784655520599419</v>
      </c>
      <c r="U176" s="52">
        <f t="shared" si="77"/>
        <v>0.2497280336055078</v>
      </c>
      <c r="V176" s="7">
        <f t="shared" si="78"/>
        <v>14.999999999999998</v>
      </c>
    </row>
    <row r="177" spans="19:22">
      <c r="S177" s="7">
        <f t="shared" si="76"/>
        <v>13.099999999999969</v>
      </c>
      <c r="T177" s="51">
        <f t="shared" si="75"/>
        <v>6.1313016928839117</v>
      </c>
      <c r="U177" s="52">
        <f t="shared" si="77"/>
        <v>0.24405261612243481</v>
      </c>
      <c r="V177" s="7">
        <f t="shared" si="78"/>
        <v>14.999999999999996</v>
      </c>
    </row>
    <row r="178" spans="19:22">
      <c r="S178" s="7">
        <f t="shared" si="76"/>
        <v>13.199999999999969</v>
      </c>
      <c r="T178" s="51">
        <f t="shared" si="75"/>
        <v>6.0848524376347912</v>
      </c>
      <c r="U178" s="52">
        <f t="shared" si="77"/>
        <v>0.23854787972323988</v>
      </c>
      <c r="V178" s="7">
        <f t="shared" si="78"/>
        <v>15</v>
      </c>
    </row>
    <row r="179" spans="19:22">
      <c r="S179" s="7">
        <f t="shared" si="76"/>
        <v>13.299999999999969</v>
      </c>
      <c r="T179" s="51">
        <f t="shared" si="75"/>
        <v>6.039101667427011</v>
      </c>
      <c r="U179" s="52">
        <f t="shared" si="77"/>
        <v>0.23320745607218649</v>
      </c>
      <c r="V179" s="7">
        <f t="shared" si="78"/>
        <v>14.999999999999998</v>
      </c>
    </row>
    <row r="180" spans="19:22">
      <c r="S180" s="7">
        <f t="shared" si="76"/>
        <v>13.399999999999968</v>
      </c>
      <c r="T180" s="51">
        <f t="shared" si="75"/>
        <v>5.9940337445357645</v>
      </c>
      <c r="U180" s="52">
        <f t="shared" si="77"/>
        <v>0.2280252598521513</v>
      </c>
      <c r="V180" s="7">
        <f t="shared" si="78"/>
        <v>15</v>
      </c>
    </row>
    <row r="181" spans="19:22">
      <c r="S181" s="7">
        <f t="shared" si="76"/>
        <v>13.499999999999968</v>
      </c>
      <c r="T181" s="51">
        <f t="shared" si="75"/>
        <v>5.9496334945762408</v>
      </c>
      <c r="U181" s="52">
        <f t="shared" si="77"/>
        <v>0.22299547419856752</v>
      </c>
      <c r="V181" s="7">
        <f t="shared" si="78"/>
        <v>14.999999999999998</v>
      </c>
    </row>
    <row r="182" spans="19:22">
      <c r="S182" s="7">
        <f t="shared" si="76"/>
        <v>13.599999999999968</v>
      </c>
      <c r="T182" s="51">
        <f t="shared" si="75"/>
        <v>5.9058861894690624</v>
      </c>
      <c r="U182" s="52">
        <f t="shared" si="77"/>
        <v>0.2181125369838712</v>
      </c>
      <c r="V182" s="7">
        <f t="shared" si="78"/>
        <v>15</v>
      </c>
    </row>
    <row r="183" spans="19:22">
      <c r="S183" s="7">
        <f t="shared" si="76"/>
        <v>13.699999999999967</v>
      </c>
      <c r="T183" s="51">
        <f t="shared" si="75"/>
        <v>5.86277753115177</v>
      </c>
      <c r="U183" s="52">
        <f t="shared" si="77"/>
        <v>0.21337112789698676</v>
      </c>
      <c r="V183" s="7">
        <f t="shared" si="78"/>
        <v>14.999999999999996</v>
      </c>
    </row>
    <row r="184" spans="19:22">
      <c r="S184" s="7">
        <f t="shared" si="76"/>
        <v>13.799999999999967</v>
      </c>
      <c r="T184" s="51">
        <f t="shared" si="75"/>
        <v>5.820293635998496</v>
      </c>
      <c r="U184" s="52">
        <f t="shared" si="77"/>
        <v>0.20876615626638109</v>
      </c>
      <c r="V184" s="7">
        <f t="shared" si="78"/>
        <v>15</v>
      </c>
    </row>
    <row r="185" spans="19:22">
      <c r="S185" s="7">
        <f t="shared" si="76"/>
        <v>13.899999999999967</v>
      </c>
      <c r="T185" s="51">
        <f t="shared" si="75"/>
        <v>5.7784210199121766</v>
      </c>
      <c r="U185" s="52">
        <f t="shared" si="77"/>
        <v>0.20429274957888693</v>
      </c>
      <c r="V185" s="7">
        <f t="shared" si="78"/>
        <v>15</v>
      </c>
    </row>
    <row r="186" spans="19:22">
      <c r="S186" s="7">
        <f t="shared" si="76"/>
        <v>13.999999999999966</v>
      </c>
      <c r="T186" s="51">
        <f t="shared" si="75"/>
        <v>5.7371465840556608</v>
      </c>
      <c r="U186" s="52">
        <f t="shared" si="77"/>
        <v>0.19994624264989092</v>
      </c>
      <c r="V186" s="7">
        <f t="shared" si="78"/>
        <v>15</v>
      </c>
    </row>
    <row r="187" spans="19:22">
      <c r="S187" s="7">
        <f t="shared" si="76"/>
        <v>14.099999999999966</v>
      </c>
      <c r="T187" s="51">
        <f t="shared" si="75"/>
        <v>5.6964576011900174</v>
      </c>
      <c r="U187" s="52">
        <f t="shared" si="77"/>
        <v>0.1957221674036049</v>
      </c>
      <c r="V187" s="7">
        <f t="shared" si="78"/>
        <v>14.999999999999998</v>
      </c>
    </row>
    <row r="188" spans="19:22">
      <c r="S188" s="7">
        <f t="shared" si="76"/>
        <v>14.199999999999966</v>
      </c>
      <c r="T188" s="51">
        <f t="shared" si="75"/>
        <v>5.6563417025900886</v>
      </c>
      <c r="U188" s="52">
        <f t="shared" si="77"/>
        <v>0.19161624322502685</v>
      </c>
      <c r="V188" s="7">
        <f t="shared" si="78"/>
        <v>14.999999999999995</v>
      </c>
    </row>
    <row r="189" spans="19:22">
      <c r="S189" s="7">
        <f t="shared" si="76"/>
        <v>14.299999999999965</v>
      </c>
      <c r="T189" s="51">
        <f t="shared" si="75"/>
        <v>5.6167868655090389</v>
      </c>
      <c r="U189" s="52">
        <f t="shared" si="77"/>
        <v>0.18762436784786463</v>
      </c>
      <c r="V189" s="7">
        <f t="shared" si="78"/>
        <v>14.999999999999998</v>
      </c>
    </row>
    <row r="190" spans="19:22">
      <c r="S190" s="7">
        <f t="shared" si="76"/>
        <v>14.399999999999965</v>
      </c>
      <c r="T190" s="51">
        <f t="shared" si="75"/>
        <v>5.5777814011652262</v>
      </c>
      <c r="U190" s="52">
        <f t="shared" si="77"/>
        <v>0.1837426087451576</v>
      </c>
      <c r="V190" s="7">
        <f t="shared" si="78"/>
        <v>14.999999999999996</v>
      </c>
    </row>
    <row r="191" spans="19:22">
      <c r="S191" s="7">
        <f t="shared" si="76"/>
        <v>14.499999999999964</v>
      </c>
      <c r="T191" s="51">
        <f t="shared" si="75"/>
        <v>5.5393139432261558</v>
      </c>
      <c r="U191" s="52">
        <f t="shared" si="77"/>
        <v>0.17996719499161121</v>
      </c>
      <c r="V191" s="7">
        <f t="shared" si="78"/>
        <v>14.999999999999996</v>
      </c>
    </row>
    <row r="192" spans="19:22">
      <c r="S192" s="7">
        <f t="shared" si="76"/>
        <v>14.599999999999964</v>
      </c>
      <c r="T192" s="51">
        <f t="shared" si="75"/>
        <v>5.5013734367657028</v>
      </c>
      <c r="U192" s="52">
        <f t="shared" si="77"/>
        <v>0.17629450956876591</v>
      </c>
      <c r="V192" s="7">
        <f t="shared" si="78"/>
        <v>15</v>
      </c>
    </row>
    <row r="193" spans="19:22">
      <c r="S193" s="7">
        <f t="shared" si="76"/>
        <v>14.699999999999964</v>
      </c>
      <c r="T193" s="51">
        <f t="shared" si="75"/>
        <v>5.4639491276720582</v>
      </c>
      <c r="U193" s="52">
        <f t="shared" si="77"/>
        <v>0.17272108208607359</v>
      </c>
      <c r="V193" s="7">
        <f t="shared" si="78"/>
        <v>14.999999999999998</v>
      </c>
    </row>
    <row r="194" spans="19:22">
      <c r="S194" s="7">
        <f t="shared" si="76"/>
        <v>14.799999999999963</v>
      </c>
      <c r="T194" s="51">
        <f t="shared" si="75"/>
        <v>5.4270305524850846</v>
      </c>
      <c r="U194" s="52">
        <f t="shared" si="77"/>
        <v>0.16924358189276204</v>
      </c>
      <c r="V194" s="7">
        <f t="shared" si="78"/>
        <v>14.999999999999996</v>
      </c>
    </row>
    <row r="195" spans="19:22">
      <c r="S195" s="7">
        <f t="shared" si="76"/>
        <v>14.899999999999963</v>
      </c>
      <c r="T195" s="51">
        <f t="shared" si="75"/>
        <v>5.3906075286429029</v>
      </c>
      <c r="U195" s="52">
        <f t="shared" si="77"/>
        <v>0.16585881155704058</v>
      </c>
      <c r="V195" s="7">
        <f t="shared" si="78"/>
        <v>14.999999999999998</v>
      </c>
    </row>
    <row r="196" spans="19:22">
      <c r="S196" s="7">
        <f t="shared" si="76"/>
        <v>14.999999999999963</v>
      </c>
      <c r="T196" s="51">
        <f t="shared" si="75"/>
        <v>5.3546701451186172</v>
      </c>
      <c r="U196" s="52">
        <f t="shared" si="77"/>
        <v>0.16256370069075579</v>
      </c>
      <c r="V196" s="7">
        <f t="shared" si="78"/>
        <v>15</v>
      </c>
    </row>
    <row r="197" spans="19:22">
      <c r="S197" s="7">
        <f t="shared" si="76"/>
        <v>15.099999999999962</v>
      </c>
      <c r="T197" s="51">
        <f t="shared" si="75"/>
        <v>5.3192087534290895</v>
      </c>
      <c r="U197" s="52">
        <f t="shared" si="77"/>
        <v>0.1593553000990432</v>
      </c>
      <c r="V197" s="7">
        <f t="shared" si="78"/>
        <v>14.999999999999998</v>
      </c>
    </row>
    <row r="198" spans="19:22">
      <c r="S198" s="7">
        <f t="shared" si="76"/>
        <v>15.199999999999962</v>
      </c>
      <c r="T198" s="51">
        <f t="shared" si="75"/>
        <v>5.2842139589986354</v>
      </c>
      <c r="U198" s="52">
        <f t="shared" si="77"/>
        <v>0.15623077623585938</v>
      </c>
      <c r="V198" s="7">
        <f t="shared" si="78"/>
        <v>14.999999999999998</v>
      </c>
    </row>
    <row r="199" spans="19:22">
      <c r="S199" s="7">
        <f t="shared" si="76"/>
        <v>15.299999999999962</v>
      </c>
      <c r="T199" s="51">
        <f t="shared" si="75"/>
        <v>5.2496766128613892</v>
      </c>
      <c r="U199" s="52">
        <f t="shared" si="77"/>
        <v>0.15318740594752001</v>
      </c>
      <c r="V199" s="7">
        <f t="shared" si="78"/>
        <v>15</v>
      </c>
    </row>
    <row r="200" spans="19:22">
      <c r="S200" s="7">
        <f t="shared" si="76"/>
        <v>15.399999999999961</v>
      </c>
      <c r="T200" s="51">
        <f t="shared" si="75"/>
        <v>5.2155878036869652</v>
      </c>
      <c r="U200" s="52">
        <f t="shared" si="77"/>
        <v>0.15022257148752141</v>
      </c>
      <c r="V200" s="7">
        <f t="shared" si="78"/>
        <v>14.999999999999998</v>
      </c>
    </row>
    <row r="201" spans="19:22">
      <c r="S201" s="7">
        <f t="shared" si="76"/>
        <v>15.499999999999961</v>
      </c>
      <c r="T201" s="51">
        <f t="shared" si="75"/>
        <v>5.1819388501147907</v>
      </c>
      <c r="U201" s="52">
        <f t="shared" si="77"/>
        <v>0.14733375578699631</v>
      </c>
      <c r="V201" s="7">
        <f t="shared" si="78"/>
        <v>14.999999999999998</v>
      </c>
    </row>
    <row r="202" spans="19:22">
      <c r="S202" s="7">
        <f t="shared" si="76"/>
        <v>15.599999999999961</v>
      </c>
      <c r="T202" s="51">
        <f t="shared" si="75"/>
        <v>5.1487212933832858</v>
      </c>
      <c r="U202" s="52">
        <f t="shared" si="77"/>
        <v>0.14451853796615041</v>
      </c>
      <c r="V202" s="7">
        <f t="shared" si="78"/>
        <v>14.999999999999998</v>
      </c>
    </row>
    <row r="203" spans="19:22">
      <c r="S203" s="7">
        <f t="shared" si="76"/>
        <v>15.69999999999996</v>
      </c>
      <c r="T203" s="51">
        <f t="shared" si="75"/>
        <v>5.1159268902407176</v>
      </c>
      <c r="U203" s="52">
        <f t="shared" si="77"/>
        <v>0.14177458907295393</v>
      </c>
      <c r="V203" s="7">
        <f t="shared" si="78"/>
        <v>14.999999999999998</v>
      </c>
    </row>
    <row r="204" spans="19:22">
      <c r="S204" s="7">
        <f t="shared" si="76"/>
        <v>15.79999999999996</v>
      </c>
      <c r="T204" s="51">
        <f t="shared" si="75"/>
        <v>5.0835476061252693</v>
      </c>
      <c r="U204" s="52">
        <f t="shared" si="77"/>
        <v>0.13909966803622556</v>
      </c>
      <c r="V204" s="7">
        <f t="shared" si="78"/>
        <v>14.999999999999998</v>
      </c>
    </row>
    <row r="205" spans="19:22">
      <c r="S205" s="7">
        <f t="shared" si="76"/>
        <v>15.899999999999959</v>
      </c>
      <c r="T205" s="51">
        <f t="shared" si="75"/>
        <v>5.0515756086024695</v>
      </c>
      <c r="U205" s="52">
        <f t="shared" si="77"/>
        <v>0.1364916178210501</v>
      </c>
      <c r="V205" s="7">
        <f t="shared" si="78"/>
        <v>14.999999999999996</v>
      </c>
    </row>
    <row r="206" spans="19:22">
      <c r="S206" s="7">
        <f t="shared" si="76"/>
        <v>15.999999999999959</v>
      </c>
      <c r="T206" s="51">
        <f t="shared" si="75"/>
        <v>5.0200032610487035</v>
      </c>
      <c r="U206" s="52">
        <f t="shared" si="77"/>
        <v>0.13394836177521996</v>
      </c>
      <c r="V206" s="7">
        <f t="shared" si="78"/>
        <v>14.999999999999998</v>
      </c>
    </row>
    <row r="207" spans="19:22">
      <c r="S207" s="7">
        <f t="shared" si="76"/>
        <v>16.099999999999959</v>
      </c>
      <c r="T207" s="51">
        <f t="shared" si="75"/>
        <v>4.9888231165701402</v>
      </c>
      <c r="U207" s="52">
        <f t="shared" si="77"/>
        <v>0.13146790015608845</v>
      </c>
      <c r="V207" s="7">
        <f t="shared" si="78"/>
        <v>14.999999999999998</v>
      </c>
    </row>
    <row r="208" spans="19:22">
      <c r="S208" s="7">
        <f t="shared" si="76"/>
        <v>16.19999999999996</v>
      </c>
      <c r="T208" s="51">
        <f t="shared" si="75"/>
        <v>4.9580279121468678</v>
      </c>
      <c r="U208" s="52">
        <f t="shared" si="77"/>
        <v>0.12904830682787477</v>
      </c>
      <c r="V208" s="7">
        <f t="shared" si="78"/>
        <v>14.999999999999998</v>
      </c>
    </row>
    <row r="209" spans="19:22">
      <c r="S209" s="7">
        <f t="shared" si="76"/>
        <v>16.299999999999962</v>
      </c>
      <c r="T209" s="51">
        <f t="shared" si="75"/>
        <v>4.9276105629925917</v>
      </c>
      <c r="U209" s="52">
        <f t="shared" si="77"/>
        <v>0.12668772612006673</v>
      </c>
      <c r="V209" s="7">
        <f t="shared" si="78"/>
        <v>15</v>
      </c>
    </row>
    <row r="210" spans="19:22">
      <c r="S210" s="7">
        <f t="shared" si="76"/>
        <v>16.399999999999963</v>
      </c>
      <c r="T210" s="51">
        <f t="shared" si="75"/>
        <v>4.8975641571206854</v>
      </c>
      <c r="U210" s="52">
        <f t="shared" si="77"/>
        <v>0.12438436983813453</v>
      </c>
      <c r="V210" s="7">
        <f t="shared" si="78"/>
        <v>15</v>
      </c>
    </row>
    <row r="211" spans="19:22">
      <c r="S211" s="7">
        <f t="shared" si="76"/>
        <v>16.499999999999964</v>
      </c>
      <c r="T211" s="51">
        <f t="shared" si="75"/>
        <v>4.8678819501078321</v>
      </c>
      <c r="U211" s="52">
        <f t="shared" si="77"/>
        <v>0.12213651441829876</v>
      </c>
      <c r="V211" s="7">
        <f t="shared" si="78"/>
        <v>15</v>
      </c>
    </row>
    <row r="212" spans="19:22">
      <c r="S212" s="7">
        <f t="shared" si="76"/>
        <v>16.599999999999966</v>
      </c>
      <c r="T212" s="51">
        <f t="shared" si="75"/>
        <v>4.8385573600469414</v>
      </c>
      <c r="U212" s="52">
        <f t="shared" si="77"/>
        <v>0.11994249821858928</v>
      </c>
      <c r="V212" s="7">
        <f t="shared" si="78"/>
        <v>14.999999999999998</v>
      </c>
    </row>
    <row r="213" spans="19:22">
      <c r="S213" s="7">
        <f t="shared" si="76"/>
        <v>16.699999999999967</v>
      </c>
      <c r="T213" s="51">
        <f t="shared" si="75"/>
        <v>4.8095839626813905</v>
      </c>
      <c r="U213" s="52">
        <f t="shared" si="77"/>
        <v>0.11780071893889441</v>
      </c>
      <c r="V213" s="7">
        <f t="shared" si="78"/>
        <v>14.999999999999998</v>
      </c>
    </row>
    <row r="214" spans="19:22">
      <c r="S214" s="7">
        <f t="shared" si="76"/>
        <v>16.799999999999969</v>
      </c>
      <c r="T214" s="51">
        <f t="shared" si="75"/>
        <v>4.7809554867130482</v>
      </c>
      <c r="U214" s="52">
        <f t="shared" si="77"/>
        <v>0.11570963116313114</v>
      </c>
      <c r="V214" s="7">
        <f t="shared" si="78"/>
        <v>14.999999999999998</v>
      </c>
    </row>
    <row r="215" spans="19:22">
      <c r="S215" s="7">
        <f t="shared" si="76"/>
        <v>16.89999999999997</v>
      </c>
      <c r="T215" s="51">
        <f t="shared" si="75"/>
        <v>4.7526658092768761</v>
      </c>
      <c r="U215" s="52">
        <f t="shared" si="77"/>
        <v>0.11366774401707207</v>
      </c>
      <c r="V215" s="7">
        <f t="shared" si="78"/>
        <v>14.999999999999998</v>
      </c>
    </row>
    <row r="216" spans="19:22">
      <c r="S216" s="7">
        <f t="shared" si="76"/>
        <v>16.999999999999972</v>
      </c>
      <c r="T216" s="51">
        <f t="shared" si="75"/>
        <v>4.7247089515752467</v>
      </c>
      <c r="U216" s="52">
        <f t="shared" si="77"/>
        <v>0.11167361893574179</v>
      </c>
      <c r="V216" s="7">
        <f t="shared" si="78"/>
        <v>14.999999999999998</v>
      </c>
    </row>
    <row r="217" spans="19:22">
      <c r="S217" s="7">
        <f t="shared" si="76"/>
        <v>17.099999999999973</v>
      </c>
      <c r="T217" s="51">
        <f t="shared" si="75"/>
        <v>4.6970790746654494</v>
      </c>
      <c r="U217" s="52">
        <f t="shared" si="77"/>
        <v>0.10972586753464993</v>
      </c>
      <c r="V217" s="7">
        <f t="shared" si="78"/>
        <v>15</v>
      </c>
    </row>
    <row r="218" spans="19:22">
      <c r="S218" s="7">
        <f t="shared" si="76"/>
        <v>17.199999999999974</v>
      </c>
      <c r="T218" s="51">
        <f t="shared" si="75"/>
        <v>4.669770475394138</v>
      </c>
      <c r="U218" s="52">
        <f t="shared" si="77"/>
        <v>0.10782314957945904</v>
      </c>
      <c r="V218" s="7">
        <f t="shared" si="78"/>
        <v>15</v>
      </c>
    </row>
    <row r="219" spans="19:22">
      <c r="S219" s="7">
        <f t="shared" si="76"/>
        <v>17.299999999999976</v>
      </c>
      <c r="T219" s="51">
        <f t="shared" si="75"/>
        <v>4.6427775824727844</v>
      </c>
      <c r="U219" s="52">
        <f t="shared" si="77"/>
        <v>0.10596417104899689</v>
      </c>
      <c r="V219" s="7">
        <f t="shared" si="78"/>
        <v>15</v>
      </c>
    </row>
    <row r="220" spans="19:22">
      <c r="S220" s="7">
        <f t="shared" si="76"/>
        <v>17.399999999999977</v>
      </c>
      <c r="T220" s="51">
        <f t="shared" ref="T220:T283" si="79">6.5*2*PI()/60*$B$6/S220</f>
        <v>4.6160949526884574</v>
      </c>
      <c r="U220" s="52">
        <f t="shared" si="77"/>
        <v>0.10414768228681169</v>
      </c>
      <c r="V220" s="7">
        <f t="shared" si="78"/>
        <v>14.999999999999996</v>
      </c>
    </row>
    <row r="221" spans="19:22">
      <c r="S221" s="7">
        <f t="shared" ref="S221:S284" si="80">S220+0.1</f>
        <v>17.499999999999979</v>
      </c>
      <c r="T221" s="51">
        <f t="shared" si="79"/>
        <v>4.5897172672445228</v>
      </c>
      <c r="U221" s="52">
        <f t="shared" ref="U221:U284" si="81">IF(S221&lt;10.5,MAX( -0.00001888*T221^5 + 0.0009466*T221^4 - 0.01735*T221^3 + 0.1326*T221^2 - 0.3272*T221 + 0.2481,0),15000000/(1/2*118^2*PI()*1.25*S221^3))</f>
        <v>0.1023724762367438</v>
      </c>
      <c r="V221" s="7">
        <f t="shared" ref="V221:V284" si="82">MIN(U221*1/2*PI()*118^2*1.25*S221^3/1000000,15)</f>
        <v>15</v>
      </c>
    </row>
    <row r="222" spans="19:22">
      <c r="S222" s="7">
        <f t="shared" si="80"/>
        <v>17.59999999999998</v>
      </c>
      <c r="T222" s="51">
        <f t="shared" si="79"/>
        <v>4.5636393282260883</v>
      </c>
      <c r="U222" s="52">
        <f t="shared" si="81"/>
        <v>0.10063738675824145</v>
      </c>
      <c r="V222" s="7">
        <f t="shared" si="82"/>
        <v>15</v>
      </c>
    </row>
    <row r="223" spans="19:22">
      <c r="S223" s="7">
        <f t="shared" si="80"/>
        <v>17.699999999999982</v>
      </c>
      <c r="T223" s="51">
        <f t="shared" si="79"/>
        <v>4.5378560551852622</v>
      </c>
      <c r="U223" s="52">
        <f t="shared" si="81"/>
        <v>9.8941287017389259E-2</v>
      </c>
      <c r="V223" s="7">
        <f t="shared" si="82"/>
        <v>14.999999999999998</v>
      </c>
    </row>
    <row r="224" spans="19:22">
      <c r="S224" s="7">
        <f t="shared" si="80"/>
        <v>17.799999999999983</v>
      </c>
      <c r="T224" s="51">
        <f t="shared" si="79"/>
        <v>4.5123624818415244</v>
      </c>
      <c r="U224" s="52">
        <f t="shared" si="81"/>
        <v>9.7283087949842167E-2</v>
      </c>
      <c r="V224" s="7">
        <f t="shared" si="82"/>
        <v>15</v>
      </c>
    </row>
    <row r="225" spans="19:22">
      <c r="S225" s="7">
        <f t="shared" si="80"/>
        <v>17.899999999999984</v>
      </c>
      <c r="T225" s="51">
        <f t="shared" si="79"/>
        <v>4.4871537528926888</v>
      </c>
      <c r="U225" s="52">
        <f t="shared" si="81"/>
        <v>9.5661736792070726E-2</v>
      </c>
      <c r="V225" s="7">
        <f t="shared" si="82"/>
        <v>15</v>
      </c>
    </row>
    <row r="226" spans="19:22">
      <c r="S226" s="7">
        <f t="shared" si="80"/>
        <v>17.999999999999986</v>
      </c>
      <c r="T226" s="51">
        <f t="shared" si="79"/>
        <v>4.4622251209321737</v>
      </c>
      <c r="U226" s="52">
        <f t="shared" si="81"/>
        <v>9.4076215677520239E-2</v>
      </c>
      <c r="V226" s="7">
        <f t="shared" si="82"/>
        <v>15</v>
      </c>
    </row>
    <row r="227" spans="19:22">
      <c r="S227" s="7">
        <f t="shared" si="80"/>
        <v>18.099999999999987</v>
      </c>
      <c r="T227" s="51">
        <f t="shared" si="79"/>
        <v>4.4375719434684591</v>
      </c>
      <c r="U227" s="52">
        <f t="shared" si="81"/>
        <v>9.2525540294474545E-2</v>
      </c>
      <c r="V227" s="7">
        <f t="shared" si="82"/>
        <v>14.999999999999998</v>
      </c>
    </row>
    <row r="228" spans="19:22">
      <c r="S228" s="7">
        <f t="shared" si="80"/>
        <v>18.199999999999989</v>
      </c>
      <c r="T228" s="51">
        <f t="shared" si="79"/>
        <v>4.4131896800428079</v>
      </c>
      <c r="U228" s="52">
        <f t="shared" si="81"/>
        <v>9.100875860258982E-2</v>
      </c>
      <c r="V228" s="7">
        <f t="shared" si="82"/>
        <v>14.999999999999998</v>
      </c>
    </row>
    <row r="229" spans="19:22">
      <c r="S229" s="7">
        <f t="shared" si="80"/>
        <v>18.29999999999999</v>
      </c>
      <c r="T229" s="51">
        <f t="shared" si="79"/>
        <v>4.3890738894414811</v>
      </c>
      <c r="U229" s="52">
        <f t="shared" si="81"/>
        <v>8.9524949605228429E-2</v>
      </c>
      <c r="V229" s="7">
        <f t="shared" si="82"/>
        <v>14.999999999999996</v>
      </c>
    </row>
    <row r="230" spans="19:22">
      <c r="S230" s="7">
        <f t="shared" si="80"/>
        <v>18.399999999999991</v>
      </c>
      <c r="T230" s="51">
        <f t="shared" si="79"/>
        <v>4.365220226998864</v>
      </c>
      <c r="U230" s="52">
        <f t="shared" si="81"/>
        <v>8.8073222174879021E-2</v>
      </c>
      <c r="V230" s="7">
        <f t="shared" si="82"/>
        <v>14.999999999999998</v>
      </c>
    </row>
    <row r="231" spans="19:22">
      <c r="S231" s="7">
        <f t="shared" si="80"/>
        <v>18.499999999999993</v>
      </c>
      <c r="T231" s="51">
        <f t="shared" si="79"/>
        <v>4.341624441988059</v>
      </c>
      <c r="U231" s="52">
        <f t="shared" si="81"/>
        <v>8.6652713929093614E-2</v>
      </c>
      <c r="V231" s="7">
        <f t="shared" si="82"/>
        <v>14.999999999999998</v>
      </c>
    </row>
    <row r="232" spans="19:22">
      <c r="S232" s="7">
        <f t="shared" si="80"/>
        <v>18.599999999999994</v>
      </c>
      <c r="T232" s="51">
        <f t="shared" si="79"/>
        <v>4.3182823750956496</v>
      </c>
      <c r="U232" s="52">
        <f t="shared" si="81"/>
        <v>8.5262590154511195E-2</v>
      </c>
      <c r="V232" s="7">
        <f t="shared" si="82"/>
        <v>15</v>
      </c>
    </row>
    <row r="233" spans="19:22">
      <c r="S233" s="7">
        <f t="shared" si="80"/>
        <v>18.699999999999996</v>
      </c>
      <c r="T233" s="51">
        <f t="shared" si="79"/>
        <v>4.2951899559774906</v>
      </c>
      <c r="U233" s="52">
        <f t="shared" si="81"/>
        <v>8.3902042776665173E-2</v>
      </c>
      <c r="V233" s="7">
        <f t="shared" si="82"/>
        <v>15</v>
      </c>
    </row>
    <row r="234" spans="19:22">
      <c r="S234" s="7">
        <f t="shared" si="80"/>
        <v>18.799999999999997</v>
      </c>
      <c r="T234" s="51">
        <f t="shared" si="79"/>
        <v>4.2723432008925037</v>
      </c>
      <c r="U234" s="52">
        <f t="shared" si="81"/>
        <v>8.257028937339525E-2</v>
      </c>
      <c r="V234" s="7">
        <f t="shared" si="82"/>
        <v>14.999999999999996</v>
      </c>
    </row>
    <row r="235" spans="19:22">
      <c r="S235" s="7">
        <f t="shared" si="80"/>
        <v>18.899999999999999</v>
      </c>
      <c r="T235" s="51">
        <f t="shared" si="79"/>
        <v>4.2497382104115911</v>
      </c>
      <c r="U235" s="52">
        <f t="shared" si="81"/>
        <v>8.126657222979812E-2</v>
      </c>
      <c r="V235" s="7">
        <f t="shared" si="82"/>
        <v>14.999999999999998</v>
      </c>
    </row>
    <row r="236" spans="19:22">
      <c r="S236" s="7">
        <f t="shared" si="80"/>
        <v>19</v>
      </c>
      <c r="T236" s="51">
        <f t="shared" si="79"/>
        <v>4.227371167198898</v>
      </c>
      <c r="U236" s="52">
        <f t="shared" si="81"/>
        <v>7.9990157432759404E-2</v>
      </c>
      <c r="V236" s="7">
        <f t="shared" si="82"/>
        <v>14.999999999999998</v>
      </c>
    </row>
    <row r="237" spans="19:22">
      <c r="S237" s="7">
        <f t="shared" si="80"/>
        <v>19.100000000000001</v>
      </c>
      <c r="T237" s="51">
        <f t="shared" si="79"/>
        <v>4.2052383338627779</v>
      </c>
      <c r="U237" s="52">
        <f t="shared" si="81"/>
        <v>7.8740334003212259E-2</v>
      </c>
      <c r="V237" s="7">
        <f t="shared" si="82"/>
        <v>14.999999999999996</v>
      </c>
    </row>
    <row r="238" spans="19:22">
      <c r="S238" s="7">
        <f t="shared" si="80"/>
        <v>19.200000000000003</v>
      </c>
      <c r="T238" s="51">
        <f t="shared" si="79"/>
        <v>4.1833360508739084</v>
      </c>
      <c r="U238" s="52">
        <f t="shared" si="81"/>
        <v>7.7516413064362771E-2</v>
      </c>
      <c r="V238" s="7">
        <f t="shared" si="82"/>
        <v>14.999999999999996</v>
      </c>
    </row>
    <row r="239" spans="19:22">
      <c r="S239" s="7">
        <f t="shared" si="80"/>
        <v>19.300000000000004</v>
      </c>
      <c r="T239" s="51">
        <f t="shared" si="79"/>
        <v>4.1616607345481365</v>
      </c>
      <c r="U239" s="52">
        <f t="shared" si="81"/>
        <v>7.6317727044214051E-2</v>
      </c>
      <c r="V239" s="7">
        <f t="shared" si="82"/>
        <v>15</v>
      </c>
    </row>
    <row r="240" spans="19:22">
      <c r="S240" s="7">
        <f t="shared" si="80"/>
        <v>19.400000000000006</v>
      </c>
      <c r="T240" s="51">
        <f t="shared" si="79"/>
        <v>4.1402088750917025</v>
      </c>
      <c r="U240" s="52">
        <f t="shared" si="81"/>
        <v>7.514362891080599E-2</v>
      </c>
      <c r="V240" s="7">
        <f t="shared" si="82"/>
        <v>15</v>
      </c>
    </row>
    <row r="241" spans="19:22">
      <c r="S241" s="7">
        <f t="shared" si="80"/>
        <v>19.500000000000007</v>
      </c>
      <c r="T241" s="51">
        <f t="shared" si="79"/>
        <v>4.1189770347066172</v>
      </c>
      <c r="U241" s="52">
        <f t="shared" si="81"/>
        <v>7.3993491438668374E-2</v>
      </c>
      <c r="V241" s="7">
        <f t="shared" si="82"/>
        <v>15</v>
      </c>
    </row>
    <row r="242" spans="19:22">
      <c r="S242" s="7">
        <f t="shared" si="80"/>
        <v>19.600000000000009</v>
      </c>
      <c r="T242" s="51">
        <f t="shared" si="79"/>
        <v>4.0979618457540319</v>
      </c>
      <c r="U242" s="52">
        <f t="shared" si="81"/>
        <v>7.2866706505061676E-2</v>
      </c>
      <c r="V242" s="7">
        <f t="shared" si="82"/>
        <v>15</v>
      </c>
    </row>
    <row r="243" spans="19:22">
      <c r="S243" s="7">
        <f t="shared" si="80"/>
        <v>19.70000000000001</v>
      </c>
      <c r="T243" s="51">
        <f t="shared" si="79"/>
        <v>4.0771600089735545</v>
      </c>
      <c r="U243" s="52">
        <f t="shared" si="81"/>
        <v>7.1762684414651307E-2</v>
      </c>
      <c r="V243" s="7">
        <f t="shared" si="82"/>
        <v>15</v>
      </c>
    </row>
    <row r="244" spans="19:22">
      <c r="S244" s="7">
        <f t="shared" si="80"/>
        <v>19.800000000000011</v>
      </c>
      <c r="T244" s="51">
        <f t="shared" si="79"/>
        <v>4.0565682917565153</v>
      </c>
      <c r="U244" s="52">
        <f t="shared" si="81"/>
        <v>7.0680853251329723E-2</v>
      </c>
      <c r="V244" s="7">
        <f t="shared" si="82"/>
        <v>15</v>
      </c>
    </row>
    <row r="245" spans="19:22">
      <c r="S245" s="7">
        <f t="shared" si="80"/>
        <v>19.900000000000013</v>
      </c>
      <c r="T245" s="51">
        <f t="shared" si="79"/>
        <v>4.0361835264713068</v>
      </c>
      <c r="U245" s="52">
        <f t="shared" si="81"/>
        <v>6.9620658255964515E-2</v>
      </c>
      <c r="V245" s="7">
        <f t="shared" si="82"/>
        <v>14.999999999999998</v>
      </c>
    </row>
    <row r="246" spans="19:22">
      <c r="S246" s="7">
        <f t="shared" si="80"/>
        <v>20.000000000000014</v>
      </c>
      <c r="T246" s="51">
        <f t="shared" si="79"/>
        <v>4.0160026088389502</v>
      </c>
      <c r="U246" s="52">
        <f t="shared" si="81"/>
        <v>6.8581561228911944E-2</v>
      </c>
      <c r="V246" s="7">
        <f t="shared" si="82"/>
        <v>15</v>
      </c>
    </row>
    <row r="247" spans="19:22">
      <c r="S247" s="7">
        <f t="shared" si="80"/>
        <v>20.100000000000016</v>
      </c>
      <c r="T247" s="51">
        <f t="shared" si="79"/>
        <v>3.9960224963571638</v>
      </c>
      <c r="U247" s="52">
        <f t="shared" si="81"/>
        <v>6.7563039956192339E-2</v>
      </c>
      <c r="V247" s="7">
        <f t="shared" si="82"/>
        <v>14.999999999999998</v>
      </c>
    </row>
    <row r="248" spans="19:22">
      <c r="S248" s="7">
        <f t="shared" si="80"/>
        <v>20.200000000000017</v>
      </c>
      <c r="T248" s="51">
        <f t="shared" si="79"/>
        <v>3.9762402067712372</v>
      </c>
      <c r="U248" s="52">
        <f t="shared" si="81"/>
        <v>6.6564587658278426E-2</v>
      </c>
      <c r="V248" s="7">
        <f t="shared" si="82"/>
        <v>14.999999999999998</v>
      </c>
    </row>
    <row r="249" spans="19:22">
      <c r="S249" s="7">
        <f t="shared" si="80"/>
        <v>20.300000000000018</v>
      </c>
      <c r="T249" s="51">
        <f t="shared" si="79"/>
        <v>3.9566528165900978</v>
      </c>
      <c r="U249" s="52">
        <f t="shared" si="81"/>
        <v>6.558571246049906E-2</v>
      </c>
      <c r="V249" s="7">
        <f t="shared" si="82"/>
        <v>14.999999999999998</v>
      </c>
    </row>
    <row r="250" spans="19:22">
      <c r="S250" s="7">
        <f t="shared" si="80"/>
        <v>20.40000000000002</v>
      </c>
      <c r="T250" s="51">
        <f t="shared" si="79"/>
        <v>3.9372574596460286</v>
      </c>
      <c r="U250" s="52">
        <f t="shared" si="81"/>
        <v>6.4625936884109336E-2</v>
      </c>
      <c r="V250" s="7">
        <f t="shared" si="82"/>
        <v>15</v>
      </c>
    </row>
    <row r="251" spans="19:22">
      <c r="S251" s="7">
        <f t="shared" si="80"/>
        <v>20.500000000000021</v>
      </c>
      <c r="T251" s="51">
        <f t="shared" si="79"/>
        <v>3.9180513256965352</v>
      </c>
      <c r="U251" s="52">
        <f t="shared" si="81"/>
        <v>6.3684797357124248E-2</v>
      </c>
      <c r="V251" s="7">
        <f t="shared" si="82"/>
        <v>14.999999999999998</v>
      </c>
    </row>
    <row r="252" spans="19:22">
      <c r="S252" s="7">
        <f t="shared" si="80"/>
        <v>20.600000000000023</v>
      </c>
      <c r="T252" s="51">
        <f t="shared" si="79"/>
        <v>3.89903165906694</v>
      </c>
      <c r="U252" s="52">
        <f t="shared" si="81"/>
        <v>6.2761843744056717E-2</v>
      </c>
      <c r="V252" s="7">
        <f t="shared" si="82"/>
        <v>14.999999999999996</v>
      </c>
    </row>
    <row r="253" spans="19:22">
      <c r="S253" s="7">
        <f t="shared" si="80"/>
        <v>20.700000000000024</v>
      </c>
      <c r="T253" s="51">
        <f t="shared" si="79"/>
        <v>3.8801957573323169</v>
      </c>
      <c r="U253" s="52">
        <f t="shared" si="81"/>
        <v>6.1856638893741878E-2</v>
      </c>
      <c r="V253" s="7">
        <f t="shared" si="82"/>
        <v>14.999999999999998</v>
      </c>
    </row>
    <row r="254" spans="19:22">
      <c r="S254" s="7">
        <f t="shared" si="80"/>
        <v>20.800000000000026</v>
      </c>
      <c r="T254" s="51">
        <f t="shared" si="79"/>
        <v>3.8615409700374501</v>
      </c>
      <c r="U254" s="52">
        <f t="shared" si="81"/>
        <v>6.0968758204469023E-2</v>
      </c>
      <c r="V254" s="7">
        <f t="shared" si="82"/>
        <v>14.999999999999998</v>
      </c>
    </row>
    <row r="255" spans="19:22">
      <c r="S255" s="7">
        <f t="shared" si="80"/>
        <v>20.900000000000027</v>
      </c>
      <c r="T255" s="51">
        <f t="shared" si="79"/>
        <v>3.8430646974535385</v>
      </c>
      <c r="U255" s="52">
        <f t="shared" si="81"/>
        <v>6.0097789205679257E-2</v>
      </c>
      <c r="V255" s="7">
        <f t="shared" si="82"/>
        <v>15</v>
      </c>
    </row>
    <row r="256" spans="19:22">
      <c r="S256" s="7">
        <f t="shared" si="80"/>
        <v>21.000000000000028</v>
      </c>
      <c r="T256" s="51">
        <f t="shared" si="79"/>
        <v>3.8247643893704262</v>
      </c>
      <c r="U256" s="52">
        <f t="shared" si="81"/>
        <v>5.924333115552257E-2</v>
      </c>
      <c r="V256" s="7">
        <f t="shared" si="82"/>
        <v>15</v>
      </c>
    </row>
    <row r="257" spans="19:22">
      <c r="S257" s="7">
        <f t="shared" si="80"/>
        <v>21.10000000000003</v>
      </c>
      <c r="T257" s="51">
        <f t="shared" si="79"/>
        <v>3.8066375439231726</v>
      </c>
      <c r="U257" s="52">
        <f t="shared" si="81"/>
        <v>5.8404994653600752E-2</v>
      </c>
      <c r="V257" s="7">
        <f t="shared" si="82"/>
        <v>14.999999999999998</v>
      </c>
    </row>
    <row r="258" spans="19:22">
      <c r="S258" s="7">
        <f t="shared" si="80"/>
        <v>21.200000000000031</v>
      </c>
      <c r="T258" s="51">
        <f t="shared" si="79"/>
        <v>3.7886817064518366</v>
      </c>
      <c r="U258" s="52">
        <f t="shared" si="81"/>
        <v>5.7582401268254819E-2</v>
      </c>
      <c r="V258" s="7">
        <f t="shared" si="82"/>
        <v>14.999999999999998</v>
      </c>
    </row>
    <row r="259" spans="19:22">
      <c r="S259" s="7">
        <f t="shared" si="80"/>
        <v>21.300000000000033</v>
      </c>
      <c r="T259" s="51">
        <f t="shared" si="79"/>
        <v>3.7708944683933772</v>
      </c>
      <c r="U259" s="52">
        <f t="shared" si="81"/>
        <v>5.6775183177785057E-2</v>
      </c>
      <c r="V259" s="7">
        <f t="shared" si="82"/>
        <v>14.999999999999998</v>
      </c>
    </row>
    <row r="260" spans="19:22">
      <c r="S260" s="7">
        <f t="shared" si="80"/>
        <v>21.400000000000034</v>
      </c>
      <c r="T260" s="51">
        <f t="shared" si="79"/>
        <v>3.753273466204623</v>
      </c>
      <c r="U260" s="52">
        <f t="shared" si="81"/>
        <v>5.5982982825020643E-2</v>
      </c>
      <c r="V260" s="7">
        <f t="shared" si="82"/>
        <v>14.999999999999998</v>
      </c>
    </row>
    <row r="261" spans="19:22">
      <c r="S261" s="7">
        <f t="shared" si="80"/>
        <v>21.500000000000036</v>
      </c>
      <c r="T261" s="51">
        <f t="shared" si="79"/>
        <v>3.7358163803152986</v>
      </c>
      <c r="U261" s="52">
        <f t="shared" si="81"/>
        <v>5.5205452584682506E-2</v>
      </c>
      <c r="V261" s="7">
        <f t="shared" si="82"/>
        <v>14.999999999999996</v>
      </c>
    </row>
    <row r="262" spans="19:22">
      <c r="S262" s="7">
        <f t="shared" si="80"/>
        <v>21.600000000000037</v>
      </c>
      <c r="T262" s="51">
        <f t="shared" si="79"/>
        <v>3.7185209341101353</v>
      </c>
      <c r="U262" s="52">
        <f t="shared" si="81"/>
        <v>5.4442254443008993E-2</v>
      </c>
      <c r="V262" s="7">
        <f t="shared" si="82"/>
        <v>14.999999999999998</v>
      </c>
    </row>
    <row r="263" spans="19:22">
      <c r="S263" s="7">
        <f t="shared" si="80"/>
        <v>21.700000000000038</v>
      </c>
      <c r="T263" s="51">
        <f t="shared" si="79"/>
        <v>3.7013848929391204</v>
      </c>
      <c r="U263" s="52">
        <f t="shared" si="81"/>
        <v>5.3693059689137908E-2</v>
      </c>
      <c r="V263" s="7">
        <f t="shared" si="82"/>
        <v>15</v>
      </c>
    </row>
    <row r="264" spans="19:22">
      <c r="S264" s="7">
        <f t="shared" si="80"/>
        <v>21.80000000000004</v>
      </c>
      <c r="T264" s="51">
        <f t="shared" si="79"/>
        <v>3.684406063154996</v>
      </c>
      <c r="U264" s="52">
        <f t="shared" si="81"/>
        <v>5.2957548617762008E-2</v>
      </c>
      <c r="V264" s="7">
        <f t="shared" si="82"/>
        <v>14.999999999999998</v>
      </c>
    </row>
    <row r="265" spans="19:22">
      <c r="S265" s="7">
        <f t="shared" si="80"/>
        <v>21.900000000000041</v>
      </c>
      <c r="T265" s="51">
        <f t="shared" si="79"/>
        <v>3.6675822911771192</v>
      </c>
      <c r="U265" s="52">
        <f t="shared" si="81"/>
        <v>5.2235410242596605E-2</v>
      </c>
      <c r="V265" s="7">
        <f t="shared" si="82"/>
        <v>14.999999999999996</v>
      </c>
    </row>
    <row r="266" spans="19:22">
      <c r="S266" s="7">
        <f t="shared" si="80"/>
        <v>22.000000000000043</v>
      </c>
      <c r="T266" s="51">
        <f t="shared" si="79"/>
        <v>3.6509114625808592</v>
      </c>
      <c r="U266" s="52">
        <f t="shared" si="81"/>
        <v>5.1526342020219155E-2</v>
      </c>
      <c r="V266" s="7">
        <f t="shared" si="82"/>
        <v>14.999999999999996</v>
      </c>
    </row>
    <row r="267" spans="19:22">
      <c r="S267" s="7">
        <f t="shared" si="80"/>
        <v>22.100000000000044</v>
      </c>
      <c r="T267" s="51">
        <f t="shared" si="79"/>
        <v>3.6343915012117147</v>
      </c>
      <c r="U267" s="52">
        <f t="shared" si="81"/>
        <v>5.0830049583860074E-2</v>
      </c>
      <c r="V267" s="7">
        <f t="shared" si="82"/>
        <v>15</v>
      </c>
    </row>
    <row r="268" spans="19:22">
      <c r="S268" s="7">
        <f t="shared" si="80"/>
        <v>22.200000000000045</v>
      </c>
      <c r="T268" s="51">
        <f t="shared" si="79"/>
        <v>3.6180203683233736</v>
      </c>
      <c r="U268" s="52">
        <f t="shared" si="81"/>
        <v>5.0146246486743623E-2</v>
      </c>
      <c r="V268" s="7">
        <f t="shared" si="82"/>
        <v>14.999999999999998</v>
      </c>
    </row>
    <row r="269" spans="19:22">
      <c r="S269" s="7">
        <f t="shared" si="80"/>
        <v>22.300000000000047</v>
      </c>
      <c r="T269" s="51">
        <f t="shared" si="79"/>
        <v>3.6017960617389635</v>
      </c>
      <c r="U269" s="52">
        <f t="shared" si="81"/>
        <v>4.9474653954594737E-2</v>
      </c>
      <c r="V269" s="7">
        <f t="shared" si="82"/>
        <v>15</v>
      </c>
    </row>
    <row r="270" spans="19:22">
      <c r="S270" s="7">
        <f t="shared" si="80"/>
        <v>22.400000000000048</v>
      </c>
      <c r="T270" s="51">
        <f t="shared" si="79"/>
        <v>3.5857166150347717</v>
      </c>
      <c r="U270" s="52">
        <f t="shared" si="81"/>
        <v>4.8815000646945356E-2</v>
      </c>
      <c r="V270" s="7">
        <f t="shared" si="82"/>
        <v>14.999999999999998</v>
      </c>
    </row>
    <row r="271" spans="19:22">
      <c r="S271" s="7">
        <f t="shared" si="80"/>
        <v>22.50000000000005</v>
      </c>
      <c r="T271" s="51">
        <f t="shared" si="79"/>
        <v>3.569780096745728</v>
      </c>
      <c r="U271" s="52">
        <f t="shared" si="81"/>
        <v>4.8167022426889937E-2</v>
      </c>
      <c r="V271" s="7">
        <f t="shared" si="82"/>
        <v>15</v>
      </c>
    </row>
    <row r="272" spans="19:22">
      <c r="S272" s="7">
        <f t="shared" si="80"/>
        <v>22.600000000000051</v>
      </c>
      <c r="T272" s="51">
        <f t="shared" si="79"/>
        <v>3.5539846095919856</v>
      </c>
      <c r="U272" s="52">
        <f t="shared" si="81"/>
        <v>4.7530462138954913E-2</v>
      </c>
      <c r="V272" s="7">
        <f t="shared" si="82"/>
        <v>14.999999999999998</v>
      </c>
    </row>
    <row r="273" spans="19:22">
      <c r="S273" s="7">
        <f t="shared" si="80"/>
        <v>22.700000000000053</v>
      </c>
      <c r="T273" s="51">
        <f t="shared" si="79"/>
        <v>3.5383282897259414</v>
      </c>
      <c r="U273" s="52">
        <f t="shared" si="81"/>
        <v>4.6905069394762175E-2</v>
      </c>
      <c r="V273" s="7">
        <f t="shared" si="82"/>
        <v>15</v>
      </c>
    </row>
    <row r="274" spans="19:22">
      <c r="S274" s="7">
        <f t="shared" si="80"/>
        <v>22.800000000000054</v>
      </c>
      <c r="T274" s="51">
        <f t="shared" si="79"/>
        <v>3.5228093059990733</v>
      </c>
      <c r="U274" s="52">
        <f t="shared" si="81"/>
        <v>4.6290600366179886E-2</v>
      </c>
      <c r="V274" s="7">
        <f t="shared" si="82"/>
        <v>14.999999999999995</v>
      </c>
    </row>
    <row r="275" spans="19:22">
      <c r="S275" s="7">
        <f t="shared" si="80"/>
        <v>22.900000000000055</v>
      </c>
      <c r="T275" s="51">
        <f t="shared" si="79"/>
        <v>3.5074258592479852</v>
      </c>
      <c r="U275" s="52">
        <f t="shared" si="81"/>
        <v>4.5686817585667928E-2</v>
      </c>
      <c r="V275" s="7">
        <f t="shared" si="82"/>
        <v>14.999999999999998</v>
      </c>
    </row>
    <row r="276" spans="19:22">
      <c r="S276" s="7">
        <f t="shared" si="80"/>
        <v>23.000000000000057</v>
      </c>
      <c r="T276" s="51">
        <f t="shared" si="79"/>
        <v>3.4921761815990808</v>
      </c>
      <c r="U276" s="52">
        <f t="shared" si="81"/>
        <v>4.5093489753537656E-2</v>
      </c>
      <c r="V276" s="7">
        <f t="shared" si="82"/>
        <v>15</v>
      </c>
    </row>
    <row r="277" spans="19:22">
      <c r="S277" s="7">
        <f t="shared" si="80"/>
        <v>23.100000000000058</v>
      </c>
      <c r="T277" s="51">
        <f t="shared" si="79"/>
        <v>3.4770585357912922</v>
      </c>
      <c r="U277" s="52">
        <f t="shared" si="81"/>
        <v>4.4510391551857521E-2</v>
      </c>
      <c r="V277" s="7">
        <f t="shared" si="82"/>
        <v>15</v>
      </c>
    </row>
    <row r="278" spans="19:22">
      <c r="S278" s="7">
        <f t="shared" si="80"/>
        <v>23.20000000000006</v>
      </c>
      <c r="T278" s="51">
        <f t="shared" si="79"/>
        <v>3.4620712145163299</v>
      </c>
      <c r="U278" s="52">
        <f t="shared" si="81"/>
        <v>4.3937303464748174E-2</v>
      </c>
      <c r="V278" s="7">
        <f t="shared" si="82"/>
        <v>14.999999999999998</v>
      </c>
    </row>
    <row r="279" spans="19:22">
      <c r="S279" s="7">
        <f t="shared" si="80"/>
        <v>23.300000000000061</v>
      </c>
      <c r="T279" s="51">
        <f t="shared" si="79"/>
        <v>3.4472125397759164</v>
      </c>
      <c r="U279" s="52">
        <f t="shared" si="81"/>
        <v>4.3374011604821058E-2</v>
      </c>
      <c r="V279" s="7">
        <f t="shared" si="82"/>
        <v>14.999999999999998</v>
      </c>
    </row>
    <row r="280" spans="19:22">
      <c r="S280" s="7">
        <f t="shared" si="80"/>
        <v>23.400000000000063</v>
      </c>
      <c r="T280" s="51">
        <f t="shared" si="79"/>
        <v>3.4324808622555061</v>
      </c>
      <c r="U280" s="52">
        <f t="shared" si="81"/>
        <v>4.2820307545525384E-2</v>
      </c>
      <c r="V280" s="7">
        <f t="shared" si="82"/>
        <v>14.999999999999998</v>
      </c>
    </row>
    <row r="281" spans="19:22">
      <c r="S281" s="7">
        <f t="shared" si="80"/>
        <v>23.500000000000064</v>
      </c>
      <c r="T281" s="51">
        <f t="shared" si="79"/>
        <v>3.4178745607139933</v>
      </c>
      <c r="U281" s="52">
        <f t="shared" si="81"/>
        <v>4.2275988159178005E-2</v>
      </c>
      <c r="V281" s="7">
        <f t="shared" si="82"/>
        <v>14.999999999999996</v>
      </c>
    </row>
    <row r="282" spans="19:22">
      <c r="S282" s="7">
        <f t="shared" si="80"/>
        <v>23.600000000000065</v>
      </c>
      <c r="T282" s="51">
        <f t="shared" si="79"/>
        <v>3.4033920413889338</v>
      </c>
      <c r="U282" s="52">
        <f t="shared" si="81"/>
        <v>4.1740855460460614E-2</v>
      </c>
      <c r="V282" s="7">
        <f t="shared" si="82"/>
        <v>15</v>
      </c>
    </row>
    <row r="283" spans="19:22">
      <c r="S283" s="7">
        <f t="shared" si="80"/>
        <v>23.700000000000067</v>
      </c>
      <c r="T283" s="51">
        <f t="shared" si="79"/>
        <v>3.3890317374168282</v>
      </c>
      <c r="U283" s="52">
        <f t="shared" si="81"/>
        <v>4.121471645517729E-2</v>
      </c>
      <c r="V283" s="7">
        <f t="shared" si="82"/>
        <v>15</v>
      </c>
    </row>
    <row r="284" spans="19:22">
      <c r="S284" s="7">
        <f t="shared" si="80"/>
        <v>23.800000000000068</v>
      </c>
      <c r="T284" s="51">
        <f t="shared" ref="T284:T321" si="83">6.5*2*PI()/60*$B$6/S284</f>
        <v>3.3747921082680179</v>
      </c>
      <c r="U284" s="52">
        <f t="shared" si="81"/>
        <v>4.0697382994074452E-2</v>
      </c>
      <c r="V284" s="7">
        <f t="shared" si="82"/>
        <v>14.999999999999998</v>
      </c>
    </row>
    <row r="285" spans="19:22">
      <c r="S285" s="7">
        <f t="shared" ref="S285:S321" si="84">S284+0.1</f>
        <v>23.90000000000007</v>
      </c>
      <c r="T285" s="51">
        <f t="shared" si="83"/>
        <v>3.3606716391957665</v>
      </c>
      <c r="U285" s="52">
        <f t="shared" ref="U285:U321" si="85">IF(S285&lt;10.5,MAX( -0.00001888*T285^5 + 0.0009466*T285^4 - 0.01735*T285^3 + 0.1326*T285^2 - 0.3272*T285 + 0.2481,0),15000000/(1/2*118^2*PI()*1.25*S285^3))</f>
        <v>4.0188671631533404E-2</v>
      </c>
      <c r="V285" s="7">
        <f t="shared" ref="V285:V321" si="86">MIN(U285*1/2*PI()*118^2*1.25*S285^3/1000000,15)</f>
        <v>14.999999999999996</v>
      </c>
    </row>
    <row r="286" spans="19:22">
      <c r="S286" s="7">
        <f t="shared" si="84"/>
        <v>24.000000000000071</v>
      </c>
      <c r="T286" s="51">
        <f t="shared" si="83"/>
        <v>3.3466688406991176</v>
      </c>
      <c r="U286" s="52">
        <f t="shared" si="85"/>
        <v>3.9688403488953403E-2</v>
      </c>
      <c r="V286" s="7">
        <f t="shared" si="86"/>
        <v>14.999999999999998</v>
      </c>
    </row>
    <row r="287" spans="19:22">
      <c r="S287" s="7">
        <f t="shared" si="84"/>
        <v>24.100000000000072</v>
      </c>
      <c r="T287" s="51">
        <f t="shared" si="83"/>
        <v>3.3327822479991212</v>
      </c>
      <c r="U287" s="52">
        <f t="shared" si="85"/>
        <v>3.9196404122650845E-2</v>
      </c>
      <c r="V287" s="7">
        <f t="shared" si="86"/>
        <v>14.999999999999998</v>
      </c>
    </row>
    <row r="288" spans="19:22">
      <c r="S288" s="7">
        <f t="shared" si="84"/>
        <v>24.200000000000074</v>
      </c>
      <c r="T288" s="51">
        <f t="shared" si="83"/>
        <v>3.3190104205280502</v>
      </c>
      <c r="U288" s="52">
        <f t="shared" si="85"/>
        <v>3.871250339610742E-2</v>
      </c>
      <c r="V288" s="7">
        <f t="shared" si="86"/>
        <v>14.999999999999996</v>
      </c>
    </row>
    <row r="289" spans="19:22">
      <c r="S289" s="7">
        <f t="shared" si="84"/>
        <v>24.300000000000075</v>
      </c>
      <c r="T289" s="51">
        <f t="shared" si="83"/>
        <v>3.3053519414312267</v>
      </c>
      <c r="U289" s="52">
        <f t="shared" si="85"/>
        <v>3.8236535356406705E-2</v>
      </c>
      <c r="V289" s="7">
        <f t="shared" si="86"/>
        <v>14.999999999999998</v>
      </c>
    </row>
    <row r="290" spans="19:22">
      <c r="S290" s="7">
        <f t="shared" si="84"/>
        <v>24.400000000000077</v>
      </c>
      <c r="T290" s="51">
        <f t="shared" si="83"/>
        <v>3.2918054170810986</v>
      </c>
      <c r="U290" s="52">
        <f t="shared" si="85"/>
        <v>3.7768338114705327E-2</v>
      </c>
      <c r="V290" s="7">
        <f t="shared" si="86"/>
        <v>14.999999999999998</v>
      </c>
    </row>
    <row r="291" spans="19:22">
      <c r="S291" s="7">
        <f t="shared" si="84"/>
        <v>24.500000000000078</v>
      </c>
      <c r="T291" s="51">
        <f t="shared" si="83"/>
        <v>3.2783694766032165</v>
      </c>
      <c r="U291" s="52">
        <f t="shared" si="85"/>
        <v>3.7307753730591267E-2</v>
      </c>
      <c r="V291" s="7">
        <f t="shared" si="86"/>
        <v>15</v>
      </c>
    </row>
    <row r="292" spans="19:22">
      <c r="S292" s="7">
        <f t="shared" si="84"/>
        <v>24.60000000000008</v>
      </c>
      <c r="T292" s="51">
        <f t="shared" si="83"/>
        <v>3.2650427714137722</v>
      </c>
      <c r="U292" s="52">
        <f t="shared" si="85"/>
        <v>3.68546281001874E-2</v>
      </c>
      <c r="V292" s="7">
        <f t="shared" si="86"/>
        <v>15</v>
      </c>
    </row>
    <row r="293" spans="19:22">
      <c r="S293" s="7">
        <f t="shared" si="84"/>
        <v>24.700000000000081</v>
      </c>
      <c r="T293" s="51">
        <f t="shared" si="83"/>
        <v>3.2518239747683721</v>
      </c>
      <c r="U293" s="52">
        <f t="shared" si="85"/>
        <v>3.6408810847864639E-2</v>
      </c>
      <c r="V293" s="7">
        <f t="shared" si="86"/>
        <v>15</v>
      </c>
    </row>
    <row r="294" spans="19:22">
      <c r="S294" s="7">
        <f t="shared" si="84"/>
        <v>24.800000000000082</v>
      </c>
      <c r="T294" s="51">
        <f t="shared" si="83"/>
        <v>3.2387117813217254</v>
      </c>
      <c r="U294" s="52">
        <f t="shared" si="85"/>
        <v>3.5970155221434014E-2</v>
      </c>
      <c r="V294" s="7">
        <f t="shared" si="86"/>
        <v>14.999999999999998</v>
      </c>
    </row>
    <row r="295" spans="19:22">
      <c r="S295" s="7">
        <f t="shared" si="84"/>
        <v>24.900000000000084</v>
      </c>
      <c r="T295" s="51">
        <f t="shared" si="83"/>
        <v>3.2257049066979433</v>
      </c>
      <c r="U295" s="52">
        <f t="shared" si="85"/>
        <v>3.5538517990692547E-2</v>
      </c>
      <c r="V295" s="7">
        <f t="shared" si="86"/>
        <v>15</v>
      </c>
    </row>
    <row r="296" spans="19:22">
      <c r="S296" s="7">
        <f t="shared" si="84"/>
        <v>25.000000000000085</v>
      </c>
      <c r="T296" s="51">
        <f t="shared" si="83"/>
        <v>3.2128020870711516</v>
      </c>
      <c r="U296" s="52">
        <f t="shared" si="85"/>
        <v>3.5113759349202626E-2</v>
      </c>
      <c r="V296" s="7">
        <f t="shared" si="86"/>
        <v>14.999999999999998</v>
      </c>
    </row>
    <row r="297" spans="19:22">
      <c r="S297" s="7">
        <f t="shared" si="84"/>
        <v>25.100000000000087</v>
      </c>
      <c r="T297" s="51">
        <f t="shared" si="83"/>
        <v>3.2000020787561265</v>
      </c>
      <c r="U297" s="52">
        <f t="shared" si="85"/>
        <v>3.4695742819189496E-2</v>
      </c>
      <c r="V297" s="7">
        <f t="shared" si="86"/>
        <v>15</v>
      </c>
    </row>
    <row r="298" spans="19:22">
      <c r="S298" s="7">
        <f t="shared" si="84"/>
        <v>25.200000000000088</v>
      </c>
      <c r="T298" s="51">
        <f t="shared" si="83"/>
        <v>3.1873036578086817</v>
      </c>
      <c r="U298" s="52">
        <f t="shared" si="85"/>
        <v>3.4284335159445713E-2</v>
      </c>
      <c r="V298" s="7">
        <f t="shared" si="86"/>
        <v>15</v>
      </c>
    </row>
    <row r="299" spans="19:22">
      <c r="S299" s="7">
        <f t="shared" si="84"/>
        <v>25.30000000000009</v>
      </c>
      <c r="T299" s="51">
        <f t="shared" si="83"/>
        <v>3.1747056196355246</v>
      </c>
      <c r="U299" s="52">
        <f t="shared" si="85"/>
        <v>3.3879406276136372E-2</v>
      </c>
      <c r="V299" s="7">
        <f t="shared" si="86"/>
        <v>15</v>
      </c>
    </row>
    <row r="300" spans="19:22">
      <c r="S300" s="7">
        <f t="shared" si="84"/>
        <v>25.400000000000091</v>
      </c>
      <c r="T300" s="51">
        <f t="shared" si="83"/>
        <v>3.1622067786133372</v>
      </c>
      <c r="U300" s="52">
        <f t="shared" si="85"/>
        <v>3.34808291364024E-2</v>
      </c>
      <c r="V300" s="7">
        <f t="shared" si="86"/>
        <v>15</v>
      </c>
    </row>
    <row r="301" spans="19:22">
      <c r="S301" s="7">
        <f t="shared" si="84"/>
        <v>25.500000000000092</v>
      </c>
      <c r="T301" s="51">
        <f t="shared" si="83"/>
        <v>3.1498059677168144</v>
      </c>
      <c r="U301" s="52">
        <f t="shared" si="85"/>
        <v>3.3088479684663719E-2</v>
      </c>
      <c r="V301" s="7">
        <f t="shared" si="86"/>
        <v>14.999999999999998</v>
      </c>
    </row>
    <row r="302" spans="19:22">
      <c r="S302" s="7">
        <f t="shared" si="84"/>
        <v>25.600000000000094</v>
      </c>
      <c r="T302" s="51">
        <f t="shared" si="83"/>
        <v>3.1375020381554206</v>
      </c>
      <c r="U302" s="52">
        <f t="shared" si="85"/>
        <v>3.2702236761527705E-2</v>
      </c>
      <c r="V302" s="7">
        <f t="shared" si="86"/>
        <v>14.999999999999998</v>
      </c>
    </row>
    <row r="303" spans="19:22">
      <c r="S303" s="7">
        <f t="shared" si="84"/>
        <v>25.700000000000095</v>
      </c>
      <c r="T303" s="51">
        <f t="shared" si="83"/>
        <v>3.1252938590186288</v>
      </c>
      <c r="U303" s="52">
        <f t="shared" si="85"/>
        <v>3.2321982025212068E-2</v>
      </c>
      <c r="V303" s="7">
        <f t="shared" si="86"/>
        <v>15</v>
      </c>
    </row>
    <row r="304" spans="19:22">
      <c r="S304" s="7">
        <f t="shared" si="84"/>
        <v>25.800000000000097</v>
      </c>
      <c r="T304" s="51">
        <f t="shared" si="83"/>
        <v>3.1131803169294092</v>
      </c>
      <c r="U304" s="52">
        <f t="shared" si="85"/>
        <v>3.1947599875394771E-2</v>
      </c>
      <c r="V304" s="7">
        <f t="shared" si="86"/>
        <v>14.999999999999998</v>
      </c>
    </row>
    <row r="305" spans="19:22">
      <c r="S305" s="7">
        <f t="shared" si="84"/>
        <v>25.900000000000098</v>
      </c>
      <c r="T305" s="51">
        <f t="shared" si="83"/>
        <v>3.1011603157057435</v>
      </c>
      <c r="U305" s="52">
        <f t="shared" si="85"/>
        <v>3.1578977379406903E-2</v>
      </c>
      <c r="V305" s="7">
        <f t="shared" si="86"/>
        <v>14.999999999999998</v>
      </c>
    </row>
    <row r="306" spans="19:22">
      <c r="S306" s="7">
        <f t="shared" si="84"/>
        <v>26.000000000000099</v>
      </c>
      <c r="T306" s="51">
        <f t="shared" si="83"/>
        <v>3.0892327760299518</v>
      </c>
      <c r="U306" s="52">
        <f t="shared" si="85"/>
        <v>3.1216004200687892E-2</v>
      </c>
      <c r="V306" s="7">
        <f t="shared" si="86"/>
        <v>14.999999999999998</v>
      </c>
    </row>
    <row r="307" spans="19:22">
      <c r="S307" s="7">
        <f t="shared" si="84"/>
        <v>26.100000000000101</v>
      </c>
      <c r="T307" s="51">
        <f t="shared" si="83"/>
        <v>3.0773966351256226</v>
      </c>
      <c r="U307" s="52">
        <f t="shared" si="85"/>
        <v>3.0858572529425209E-2</v>
      </c>
      <c r="V307" s="7">
        <f t="shared" si="86"/>
        <v>15</v>
      </c>
    </row>
    <row r="308" spans="19:22">
      <c r="S308" s="7">
        <f t="shared" si="84"/>
        <v>26.200000000000102</v>
      </c>
      <c r="T308" s="51">
        <f t="shared" si="83"/>
        <v>3.0656508464419367</v>
      </c>
      <c r="U308" s="52">
        <f t="shared" si="85"/>
        <v>3.0506577015303779E-2</v>
      </c>
      <c r="V308" s="7">
        <f t="shared" si="86"/>
        <v>14.999999999999998</v>
      </c>
    </row>
    <row r="309" spans="19:22">
      <c r="S309" s="7">
        <f t="shared" si="84"/>
        <v>26.300000000000104</v>
      </c>
      <c r="T309" s="51">
        <f t="shared" si="83"/>
        <v>3.0539943793451991</v>
      </c>
      <c r="U309" s="52">
        <f t="shared" si="85"/>
        <v>3.0159914702293344E-2</v>
      </c>
      <c r="V309" s="7">
        <f t="shared" si="86"/>
        <v>14.999999999999998</v>
      </c>
    </row>
    <row r="310" spans="19:22">
      <c r="S310" s="7">
        <f t="shared" si="84"/>
        <v>26.400000000000105</v>
      </c>
      <c r="T310" s="51">
        <f t="shared" si="83"/>
        <v>3.0424262188173765</v>
      </c>
      <c r="U310" s="52">
        <f t="shared" si="85"/>
        <v>2.9818484965404419E-2</v>
      </c>
      <c r="V310" s="7">
        <f t="shared" si="86"/>
        <v>15</v>
      </c>
    </row>
    <row r="311" spans="19:22">
      <c r="S311" s="7">
        <f t="shared" si="84"/>
        <v>26.500000000000107</v>
      </c>
      <c r="T311" s="51">
        <f t="shared" si="83"/>
        <v>3.0309453651614615</v>
      </c>
      <c r="U311" s="52">
        <f t="shared" si="85"/>
        <v>2.9482189449346243E-2</v>
      </c>
      <c r="V311" s="7">
        <f t="shared" si="86"/>
        <v>14.999999999999998</v>
      </c>
    </row>
    <row r="312" spans="19:22">
      <c r="S312" s="7">
        <f t="shared" si="84"/>
        <v>26.600000000000108</v>
      </c>
      <c r="T312" s="51">
        <f t="shared" si="83"/>
        <v>3.019550833713486</v>
      </c>
      <c r="U312" s="52">
        <f t="shared" si="85"/>
        <v>2.9150932009022749E-2</v>
      </c>
      <c r="V312" s="7">
        <f t="shared" si="86"/>
        <v>14.999999999999998</v>
      </c>
    </row>
    <row r="313" spans="19:22">
      <c r="S313" s="7">
        <f t="shared" si="84"/>
        <v>26.700000000000109</v>
      </c>
      <c r="T313" s="51">
        <f t="shared" si="83"/>
        <v>3.0082416545610009</v>
      </c>
      <c r="U313" s="52">
        <f t="shared" si="85"/>
        <v>2.8824618651804648E-2</v>
      </c>
      <c r="V313" s="7">
        <f t="shared" si="86"/>
        <v>15</v>
      </c>
    </row>
    <row r="314" spans="19:22">
      <c r="S314" s="7">
        <f t="shared" si="84"/>
        <v>26.800000000000111</v>
      </c>
      <c r="T314" s="51">
        <f t="shared" si="83"/>
        <v>2.9970168722678627</v>
      </c>
      <c r="U314" s="52">
        <f t="shared" si="85"/>
        <v>2.8503157481518358E-2</v>
      </c>
      <c r="V314" s="7">
        <f t="shared" si="86"/>
        <v>15</v>
      </c>
    </row>
    <row r="315" spans="19:22">
      <c r="S315" s="7">
        <f t="shared" si="84"/>
        <v>26.900000000000112</v>
      </c>
      <c r="T315" s="51">
        <f t="shared" si="83"/>
        <v>2.9858755456051571</v>
      </c>
      <c r="U315" s="52">
        <f t="shared" si="85"/>
        <v>2.8186458644094407E-2</v>
      </c>
      <c r="V315" s="7">
        <f t="shared" si="86"/>
        <v>14.999999999999998</v>
      </c>
    </row>
    <row r="316" spans="19:22">
      <c r="S316" s="7">
        <f t="shared" si="84"/>
        <v>27.000000000000114</v>
      </c>
      <c r="T316" s="51">
        <f t="shared" si="83"/>
        <v>2.9748167472881009</v>
      </c>
      <c r="U316" s="52">
        <f t="shared" si="85"/>
        <v>2.7874434274820396E-2</v>
      </c>
      <c r="V316" s="7">
        <f t="shared" si="86"/>
        <v>14.999999999999998</v>
      </c>
    </row>
    <row r="317" spans="19:22">
      <c r="S317" s="7">
        <f t="shared" si="84"/>
        <v>27.100000000000115</v>
      </c>
      <c r="T317" s="51">
        <f t="shared" si="83"/>
        <v>2.9638395637187718</v>
      </c>
      <c r="U317" s="52">
        <f t="shared" si="85"/>
        <v>2.7566998447145174E-2</v>
      </c>
      <c r="V317" s="7">
        <f t="shared" si="86"/>
        <v>15</v>
      </c>
    </row>
    <row r="318" spans="19:22">
      <c r="S318" s="7">
        <f t="shared" si="84"/>
        <v>27.200000000000117</v>
      </c>
      <c r="T318" s="51">
        <f t="shared" si="83"/>
        <v>2.9529430947345117</v>
      </c>
      <c r="U318" s="52">
        <f t="shared" si="85"/>
        <v>2.7264067122983356E-2</v>
      </c>
      <c r="V318" s="7">
        <f t="shared" si="86"/>
        <v>15</v>
      </c>
    </row>
    <row r="319" spans="19:22">
      <c r="S319" s="7">
        <f t="shared" si="84"/>
        <v>27.300000000000118</v>
      </c>
      <c r="T319" s="51">
        <f t="shared" si="83"/>
        <v>2.9421264533618574</v>
      </c>
      <c r="U319" s="52">
        <f t="shared" si="85"/>
        <v>2.6965558104470662E-2</v>
      </c>
      <c r="V319" s="7">
        <f t="shared" si="86"/>
        <v>14.999999999999998</v>
      </c>
    </row>
    <row r="320" spans="19:22">
      <c r="S320" s="7">
        <f t="shared" si="84"/>
        <v>27.400000000000119</v>
      </c>
      <c r="T320" s="51">
        <f t="shared" si="83"/>
        <v>2.931388765575865</v>
      </c>
      <c r="U320" s="52">
        <f t="shared" si="85"/>
        <v>2.667139098712281E-2</v>
      </c>
      <c r="V320" s="7">
        <f t="shared" si="86"/>
        <v>15</v>
      </c>
    </row>
    <row r="321" spans="19:22">
      <c r="S321" s="7">
        <f t="shared" si="84"/>
        <v>27.500000000000121</v>
      </c>
      <c r="T321" s="51">
        <f t="shared" si="83"/>
        <v>2.9207291700646802</v>
      </c>
      <c r="U321" s="52">
        <f t="shared" si="85"/>
        <v>2.6381487114352016E-2</v>
      </c>
      <c r="V321" s="7">
        <f t="shared" si="86"/>
        <v>15</v>
      </c>
    </row>
  </sheetData>
  <mergeCells count="2">
    <mergeCell ref="F3:H3"/>
    <mergeCell ref="I3:K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Airfoil data</vt:lpstr>
      <vt:lpstr>Design.Betz 1 m, Example 5.3</vt:lpstr>
      <vt:lpstr>Design.Wake rotation 1 m. 5.4</vt:lpstr>
      <vt:lpstr>Design.Wake rotation 15 MW, 5.5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Järvinen Mika</dc:creator>
  <cp:lastModifiedBy>Järvinen Mika</cp:lastModifiedBy>
  <dcterms:created xsi:type="dcterms:W3CDTF">2022-07-15T12:19:59Z</dcterms:created>
  <dcterms:modified xsi:type="dcterms:W3CDTF">2024-06-29T12:17:05Z</dcterms:modified>
</cp:coreProperties>
</file>